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gj\Downloads\"/>
    </mc:Choice>
  </mc:AlternateContent>
  <xr:revisionPtr revIDLastSave="0" documentId="13_ncr:1_{E7D08B9E-8FA2-4138-AF21-D8F068617CEF}" xr6:coauthVersionLast="47" xr6:coauthVersionMax="47" xr10:uidLastSave="{00000000-0000-0000-0000-000000000000}"/>
  <bookViews>
    <workbookView xWindow="-103" yWindow="-103" windowWidth="27977" windowHeight="18000" xr2:uid="{00000000-000D-0000-FFFF-FFFF00000000}"/>
  </bookViews>
  <sheets>
    <sheet name="Wärmepumpen Rechner" sheetId="1" r:id="rId1"/>
    <sheet name="Degradation der Module" sheetId="3" r:id="rId2"/>
    <sheet name="Klimabonus"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 i="1" l="1"/>
  <c r="E9" i="1"/>
  <c r="J11" i="1"/>
  <c r="B10" i="1"/>
  <c r="B3" i="3" l="1"/>
  <c r="B4" i="3" s="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A3" i="3"/>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T14" i="1"/>
  <c r="Y10" i="1"/>
  <c r="E16" i="1"/>
  <c r="X16" i="1" s="1"/>
  <c r="D16" i="1"/>
  <c r="C16" i="1"/>
  <c r="E15" i="1"/>
  <c r="O14" i="1"/>
  <c r="K14" i="1"/>
  <c r="T9" i="1"/>
  <c r="T10" i="1" s="1"/>
  <c r="B11" i="1"/>
  <c r="B8" i="1"/>
  <c r="B7" i="1"/>
  <c r="C17" i="1" l="1"/>
  <c r="D17" i="1" s="1"/>
  <c r="O16" i="1"/>
  <c r="Z16" i="1"/>
  <c r="G16" i="1"/>
  <c r="I16" i="1" s="1"/>
  <c r="O9" i="1"/>
  <c r="O10" i="1" s="1"/>
  <c r="K16" i="1" l="1"/>
  <c r="M16" i="1" s="1"/>
  <c r="O17" i="1"/>
  <c r="K17" i="1"/>
  <c r="T17" i="1"/>
  <c r="E17" i="1"/>
  <c r="X17" i="1" s="1"/>
  <c r="C18" i="1"/>
  <c r="C19" i="1" s="1"/>
  <c r="T16" i="1"/>
  <c r="V16" i="1" s="1"/>
  <c r="P16" i="1"/>
  <c r="V17" i="1" l="1"/>
  <c r="D18" i="1"/>
  <c r="K18" i="1"/>
  <c r="O18" i="1"/>
  <c r="T18" i="1"/>
  <c r="E18" i="1"/>
  <c r="X18" i="1" s="1"/>
  <c r="Z17" i="1"/>
  <c r="G17" i="1"/>
  <c r="I17" i="1" s="1"/>
  <c r="M17" i="1"/>
  <c r="P17" i="1"/>
  <c r="C20" i="1"/>
  <c r="E19" i="1"/>
  <c r="X19" i="1" s="1"/>
  <c r="D19" i="1"/>
  <c r="T19" i="1" s="1"/>
  <c r="V18" i="1" l="1"/>
  <c r="V19" i="1" s="1"/>
  <c r="O19" i="1"/>
  <c r="K19" i="1"/>
  <c r="Z18" i="1"/>
  <c r="Z19" i="1" s="1"/>
  <c r="G18" i="1"/>
  <c r="I18" i="1" s="1"/>
  <c r="G19" i="1"/>
  <c r="M18" i="1"/>
  <c r="D20" i="1"/>
  <c r="T20" i="1" s="1"/>
  <c r="C21" i="1"/>
  <c r="E20" i="1"/>
  <c r="X20" i="1" s="1"/>
  <c r="P18" i="1"/>
  <c r="M19" i="1" l="1"/>
  <c r="I19" i="1"/>
  <c r="K20" i="1"/>
  <c r="O20" i="1"/>
  <c r="G20" i="1"/>
  <c r="I20" i="1" s="1"/>
  <c r="Z20" i="1"/>
  <c r="V20" i="1"/>
  <c r="C22" i="1"/>
  <c r="E21" i="1"/>
  <c r="X21" i="1" s="1"/>
  <c r="D21" i="1"/>
  <c r="T21" i="1" s="1"/>
  <c r="P19" i="1"/>
  <c r="O21" i="1" l="1"/>
  <c r="M20" i="1"/>
  <c r="K21" i="1"/>
  <c r="G21" i="1"/>
  <c r="I21" i="1" s="1"/>
  <c r="Z21" i="1"/>
  <c r="V21" i="1"/>
  <c r="E22" i="1"/>
  <c r="X22" i="1" s="1"/>
  <c r="D22" i="1"/>
  <c r="T22" i="1" s="1"/>
  <c r="C23" i="1"/>
  <c r="P20" i="1"/>
  <c r="M21" i="1" l="1"/>
  <c r="O22" i="1"/>
  <c r="G22" i="1"/>
  <c r="I22" i="1" s="1"/>
  <c r="Z22" i="1"/>
  <c r="K22" i="1"/>
  <c r="V22" i="1"/>
  <c r="C24" i="1"/>
  <c r="E23" i="1"/>
  <c r="X23" i="1" s="1"/>
  <c r="D23" i="1"/>
  <c r="O23" i="1" s="1"/>
  <c r="P21" i="1"/>
  <c r="G23" i="1" l="1"/>
  <c r="I23" i="1" s="1"/>
  <c r="Z23" i="1"/>
  <c r="K23" i="1"/>
  <c r="T23" i="1"/>
  <c r="V23" i="1" s="1"/>
  <c r="M22" i="1"/>
  <c r="P22" i="1"/>
  <c r="C25" i="1"/>
  <c r="E24" i="1"/>
  <c r="X24" i="1" s="1"/>
  <c r="D24" i="1"/>
  <c r="K24" i="1" s="1"/>
  <c r="T24" i="1" l="1"/>
  <c r="V24" i="1" s="1"/>
  <c r="Z24" i="1"/>
  <c r="G24" i="1"/>
  <c r="I24" i="1" s="1"/>
  <c r="O24" i="1"/>
  <c r="M23" i="1"/>
  <c r="D25" i="1"/>
  <c r="O25" i="1" s="1"/>
  <c r="E25" i="1"/>
  <c r="X25" i="1" s="1"/>
  <c r="C26" i="1"/>
  <c r="P23" i="1"/>
  <c r="Z25" i="1" l="1"/>
  <c r="G25" i="1"/>
  <c r="I25" i="1" s="1"/>
  <c r="K25" i="1"/>
  <c r="T25" i="1"/>
  <c r="V25" i="1" s="1"/>
  <c r="M24" i="1"/>
  <c r="C27" i="1"/>
  <c r="E26" i="1"/>
  <c r="X26" i="1" s="1"/>
  <c r="D26" i="1"/>
  <c r="K26" i="1" s="1"/>
  <c r="P24" i="1"/>
  <c r="Z26" i="1" l="1"/>
  <c r="G26" i="1"/>
  <c r="I26" i="1" s="1"/>
  <c r="T26" i="1"/>
  <c r="V26" i="1" s="1"/>
  <c r="M25" i="1"/>
  <c r="M26" i="1" s="1"/>
  <c r="O26" i="1"/>
  <c r="C28" i="1"/>
  <c r="E27" i="1"/>
  <c r="X27" i="1" s="1"/>
  <c r="D27" i="1"/>
  <c r="K27" i="1" s="1"/>
  <c r="P25" i="1"/>
  <c r="T27" i="1" l="1"/>
  <c r="V27" i="1" s="1"/>
  <c r="G27" i="1"/>
  <c r="I27" i="1" s="1"/>
  <c r="Z27" i="1"/>
  <c r="O27" i="1"/>
  <c r="M27" i="1"/>
  <c r="D28" i="1"/>
  <c r="T28" i="1" s="1"/>
  <c r="C29" i="1"/>
  <c r="E28" i="1"/>
  <c r="X28" i="1" s="1"/>
  <c r="P26" i="1"/>
  <c r="O28" i="1" l="1"/>
  <c r="K28" i="1"/>
  <c r="G28" i="1"/>
  <c r="I28" i="1" s="1"/>
  <c r="Z28" i="1"/>
  <c r="V28" i="1"/>
  <c r="P27" i="1"/>
  <c r="C30" i="1"/>
  <c r="E29" i="1"/>
  <c r="X29" i="1" s="1"/>
  <c r="D29" i="1"/>
  <c r="K29" i="1" s="1"/>
  <c r="O29" i="1" l="1"/>
  <c r="T29" i="1"/>
  <c r="V29" i="1" s="1"/>
  <c r="G29" i="1"/>
  <c r="I29" i="1" s="1"/>
  <c r="Z29" i="1"/>
  <c r="M28" i="1"/>
  <c r="E30" i="1"/>
  <c r="X30" i="1" s="1"/>
  <c r="D30" i="1"/>
  <c r="T30" i="1" s="1"/>
  <c r="C31" i="1"/>
  <c r="P28" i="1"/>
  <c r="G30" i="1" l="1"/>
  <c r="I30" i="1" s="1"/>
  <c r="Z30" i="1"/>
  <c r="K30" i="1"/>
  <c r="O30" i="1"/>
  <c r="V30" i="1"/>
  <c r="M29" i="1"/>
  <c r="P29" i="1"/>
  <c r="C32" i="1"/>
  <c r="E31" i="1"/>
  <c r="X31" i="1" s="1"/>
  <c r="D31" i="1"/>
  <c r="K31" i="1" s="1"/>
  <c r="T31" i="1" l="1"/>
  <c r="V31" i="1" s="1"/>
  <c r="G31" i="1"/>
  <c r="I31" i="1" s="1"/>
  <c r="Z31" i="1"/>
  <c r="O31" i="1"/>
  <c r="M30" i="1"/>
  <c r="C33" i="1"/>
  <c r="E32" i="1"/>
  <c r="X32" i="1" s="1"/>
  <c r="D32" i="1"/>
  <c r="T32" i="1" s="1"/>
  <c r="P30" i="1"/>
  <c r="K32" i="1" l="1"/>
  <c r="O32" i="1"/>
  <c r="Z32" i="1"/>
  <c r="G32" i="1"/>
  <c r="I32" i="1" s="1"/>
  <c r="M31" i="1"/>
  <c r="V32" i="1"/>
  <c r="P31" i="1"/>
  <c r="D33" i="1"/>
  <c r="K33" i="1" s="1"/>
  <c r="C34" i="1"/>
  <c r="E33" i="1"/>
  <c r="X33" i="1" s="1"/>
  <c r="T33" i="1" l="1"/>
  <c r="V33" i="1" s="1"/>
  <c r="O33" i="1"/>
  <c r="Z33" i="1"/>
  <c r="G33" i="1"/>
  <c r="I33" i="1" s="1"/>
  <c r="M32" i="1"/>
  <c r="C35" i="1"/>
  <c r="E34" i="1"/>
  <c r="X34" i="1" s="1"/>
  <c r="D34" i="1"/>
  <c r="K34" i="1" s="1"/>
  <c r="P32" i="1"/>
  <c r="Z34" i="1" l="1"/>
  <c r="G34" i="1"/>
  <c r="I34" i="1" s="1"/>
  <c r="T34" i="1"/>
  <c r="V34" i="1" s="1"/>
  <c r="O34" i="1"/>
  <c r="M33" i="1"/>
  <c r="M34" i="1" s="1"/>
  <c r="P33" i="1"/>
  <c r="C36" i="1"/>
  <c r="E35" i="1"/>
  <c r="X35" i="1" s="1"/>
  <c r="D35" i="1"/>
  <c r="O35" i="1" s="1"/>
  <c r="K35" i="1" l="1"/>
  <c r="M35" i="1" s="1"/>
  <c r="Z35" i="1"/>
  <c r="G35" i="1"/>
  <c r="I35" i="1" s="1"/>
  <c r="T35" i="1"/>
  <c r="V35" i="1" s="1"/>
  <c r="C37" i="1"/>
  <c r="D36" i="1"/>
  <c r="T36" i="1" s="1"/>
  <c r="E36" i="1"/>
  <c r="X36" i="1" s="1"/>
  <c r="P34" i="1"/>
  <c r="O36" i="1" l="1"/>
  <c r="K36" i="1"/>
  <c r="G36" i="1"/>
  <c r="I36" i="1" s="1"/>
  <c r="Z36" i="1"/>
  <c r="V36" i="1"/>
  <c r="C38" i="1"/>
  <c r="E37" i="1"/>
  <c r="X37" i="1" s="1"/>
  <c r="D37" i="1"/>
  <c r="T37" i="1" s="1"/>
  <c r="P35" i="1"/>
  <c r="O37" i="1" l="1"/>
  <c r="K37" i="1"/>
  <c r="G37" i="1"/>
  <c r="I37" i="1" s="1"/>
  <c r="Z37" i="1"/>
  <c r="V37" i="1"/>
  <c r="M36" i="1"/>
  <c r="E38" i="1"/>
  <c r="X38" i="1" s="1"/>
  <c r="D38" i="1"/>
  <c r="K38" i="1" s="1"/>
  <c r="C39" i="1"/>
  <c r="P36" i="1"/>
  <c r="M37" i="1" l="1"/>
  <c r="M38" i="1" s="1"/>
  <c r="T38" i="1"/>
  <c r="V38" i="1" s="1"/>
  <c r="O38" i="1"/>
  <c r="G38" i="1"/>
  <c r="I38" i="1" s="1"/>
  <c r="Z38" i="1"/>
  <c r="C40" i="1"/>
  <c r="E39" i="1"/>
  <c r="X39" i="1" s="1"/>
  <c r="D39" i="1"/>
  <c r="T39" i="1" s="1"/>
  <c r="P37" i="1"/>
  <c r="G39" i="1" l="1"/>
  <c r="I39" i="1" s="1"/>
  <c r="Z39" i="1"/>
  <c r="O39" i="1"/>
  <c r="K39" i="1"/>
  <c r="M39" i="1" s="1"/>
  <c r="V39" i="1"/>
  <c r="C41" i="1"/>
  <c r="E40" i="1"/>
  <c r="X40" i="1" s="1"/>
  <c r="D40" i="1"/>
  <c r="O40" i="1" s="1"/>
  <c r="P38" i="1"/>
  <c r="K40" i="1" l="1"/>
  <c r="M40" i="1" s="1"/>
  <c r="T40" i="1"/>
  <c r="V40" i="1" s="1"/>
  <c r="Z40" i="1"/>
  <c r="G40" i="1"/>
  <c r="I40" i="1" s="1"/>
  <c r="D41" i="1"/>
  <c r="O41" i="1" s="1"/>
  <c r="E41" i="1"/>
  <c r="X41" i="1" s="1"/>
  <c r="C42" i="1"/>
  <c r="P39" i="1"/>
  <c r="T41" i="1" l="1"/>
  <c r="V41" i="1" s="1"/>
  <c r="K41" i="1"/>
  <c r="M41" i="1" s="1"/>
  <c r="Z41" i="1"/>
  <c r="G41" i="1"/>
  <c r="I41" i="1" s="1"/>
  <c r="C43" i="1"/>
  <c r="E42" i="1"/>
  <c r="X42" i="1" s="1"/>
  <c r="D42" i="1"/>
  <c r="O42" i="1" s="1"/>
  <c r="P40" i="1"/>
  <c r="Z42" i="1" l="1"/>
  <c r="G42" i="1"/>
  <c r="I42" i="1" s="1"/>
  <c r="T42" i="1"/>
  <c r="V42" i="1" s="1"/>
  <c r="K42" i="1"/>
  <c r="M42" i="1" s="1"/>
  <c r="P41" i="1"/>
  <c r="C44" i="1"/>
  <c r="E43" i="1"/>
  <c r="X43" i="1" s="1"/>
  <c r="D43" i="1"/>
  <c r="O43" i="1" s="1"/>
  <c r="K43" i="1" l="1"/>
  <c r="T43" i="1"/>
  <c r="V43" i="1" s="1"/>
  <c r="Z43" i="1"/>
  <c r="G43" i="1"/>
  <c r="I43" i="1" s="1"/>
  <c r="C45" i="1"/>
  <c r="E44" i="1"/>
  <c r="X44" i="1" s="1"/>
  <c r="D44" i="1"/>
  <c r="T44" i="1" s="1"/>
  <c r="P42" i="1"/>
  <c r="O44" i="1" l="1"/>
  <c r="K44" i="1"/>
  <c r="G44" i="1"/>
  <c r="I44" i="1" s="1"/>
  <c r="Z44" i="1"/>
  <c r="V44" i="1"/>
  <c r="P43" i="1"/>
  <c r="M43" i="1"/>
  <c r="C46" i="1"/>
  <c r="E45" i="1"/>
  <c r="X45" i="1" s="1"/>
  <c r="D45" i="1"/>
  <c r="T45" i="1" s="1"/>
  <c r="O45" i="1" l="1"/>
  <c r="K45" i="1"/>
  <c r="G45" i="1"/>
  <c r="I45" i="1" s="1"/>
  <c r="Z45" i="1"/>
  <c r="V45" i="1"/>
  <c r="M44" i="1"/>
  <c r="E46" i="1"/>
  <c r="X46" i="1" s="1"/>
  <c r="D46" i="1"/>
  <c r="O46" i="1" s="1"/>
  <c r="P44" i="1"/>
  <c r="K46" i="1" l="1"/>
  <c r="T46" i="1"/>
  <c r="V46" i="1" s="1"/>
  <c r="G46" i="1"/>
  <c r="I46" i="1" s="1"/>
  <c r="I47" i="1" s="1"/>
  <c r="Z46" i="1"/>
  <c r="P45" i="1"/>
  <c r="M45" i="1"/>
  <c r="V47" i="1" l="1"/>
  <c r="M46" i="1"/>
  <c r="M47" i="1" s="1"/>
  <c r="P46" i="1"/>
  <c r="Z47" i="1" l="1"/>
  <c r="Q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Guido Jeuken</author>
  </authors>
  <commentList>
    <comment ref="J5" authorId="0" shapeId="0" xr:uid="{00000000-0006-0000-0000-000001000000}">
      <text>
        <r>
          <rPr>
            <sz val="10"/>
            <color rgb="FF000000"/>
            <rFont val="Arial"/>
            <scheme val="minor"/>
          </rPr>
          <t>Wärmepumpen Strom in Berlin am 29.04.2024: 0,20€/kWh</t>
        </r>
      </text>
    </comment>
    <comment ref="O6" authorId="0" shapeId="0" xr:uid="{00000000-0006-0000-0000-000003000000}">
      <text>
        <r>
          <rPr>
            <sz val="10"/>
            <color rgb="FF000000"/>
            <rFont val="Arial"/>
            <scheme val="minor"/>
          </rPr>
          <t>z.B. von https://www.waermepumpe.de/jazrechner/</t>
        </r>
      </text>
    </comment>
    <comment ref="T6" authorId="0" shapeId="0" xr:uid="{00000000-0006-0000-0000-000004000000}">
      <text>
        <r>
          <rPr>
            <sz val="10"/>
            <color rgb="FF000000"/>
            <rFont val="Arial"/>
            <scheme val="minor"/>
          </rPr>
          <t xml:space="preserve">z.B. von https://www.waermepumpe.de/jazrechner/
</t>
        </r>
      </text>
    </comment>
    <comment ref="Y6" authorId="1" shapeId="0" xr:uid="{DA3052CF-EB19-4D58-B933-112F17C052C9}">
      <text>
        <r>
          <rPr>
            <sz val="9"/>
            <color indexed="81"/>
            <rFont val="Segoe UI"/>
            <family val="2"/>
          </rPr>
          <t>https://www.energieatlas.nrw.de/site/karte_solarkataster, hier kann der jährliche Ertrag &amp; Autarkiegrad überschalgen werden</t>
        </r>
      </text>
    </comment>
    <comment ref="AC6" authorId="0" shapeId="0" xr:uid="{D8978112-9F28-4ED8-ADF7-2ADEBF2CF3C7}">
      <text>
        <r>
          <rPr>
            <sz val="10"/>
            <color rgb="FF000000"/>
            <rFont val="Arial"/>
            <scheme val="minor"/>
          </rPr>
          <t>*Brennwert
Alte Heizkessel (meist vor 2000): 60%
NT (Niedertemperaturkessel: 80%
Brennwertkessel: 90%</t>
        </r>
      </text>
    </comment>
    <comment ref="E7" authorId="0" shapeId="0" xr:uid="{00000000-0006-0000-0000-000005000000}">
      <text>
        <r>
          <rPr>
            <sz val="10"/>
            <color rgb="FF000000"/>
            <rFont val="Arial"/>
            <scheme val="minor"/>
          </rPr>
          <t>*Als Brennwert
Am besten du nimmst den Durchnitt der letzten 3 Jahre.
Beim Öl musst du den Jahresverbrauch mal 10,9 rechnen um auf die kWh zu kommen.</t>
        </r>
      </text>
    </comment>
    <comment ref="J7" authorId="0" shapeId="0" xr:uid="{00000000-0006-0000-0000-000002000000}">
      <text>
        <r>
          <rPr>
            <sz val="10"/>
            <color rgb="FF000000"/>
            <rFont val="Arial"/>
            <scheme val="minor"/>
          </rPr>
          <t>Die Entwicklung der Strompreise hängen vor allem von der Politik ab. Ein großer Anteil der Stromkosten sind Steuern und Abgaben. Da Wärmepumpen politisch gewollt sind, sollte es hier nur zu leichten Steigerungen kommen.</t>
        </r>
      </text>
    </comment>
    <comment ref="O7" authorId="0" shapeId="0" xr:uid="{00000000-0006-0000-0000-000007000000}">
      <text>
        <r>
          <rPr>
            <sz val="10"/>
            <color rgb="FF000000"/>
            <rFont val="Arial"/>
            <scheme val="minor"/>
          </rPr>
          <t>Preis vor der Förderung</t>
        </r>
      </text>
    </comment>
    <comment ref="T7" authorId="0" shapeId="0" xr:uid="{00000000-0006-0000-0000-000008000000}">
      <text>
        <r>
          <rPr>
            <sz val="10"/>
            <color rgb="FF000000"/>
            <rFont val="Arial"/>
            <scheme val="minor"/>
          </rPr>
          <t>Preis vor der Förderung</t>
        </r>
      </text>
    </comment>
    <comment ref="E8" authorId="0" shapeId="0" xr:uid="{00000000-0006-0000-0000-000009000000}">
      <text>
        <r>
          <rPr>
            <sz val="10"/>
            <color rgb="FF000000"/>
            <rFont val="Arial"/>
            <scheme val="minor"/>
          </rPr>
          <t>*kWh-Brennwert
Hier der Gaspreis Deckel. Laut Gasfutures ist ein Preis von etwa 0,10€ pro kWh zu erwarten.
Wenn du Öl verwendest, dann musst du den Ölpreis pro Liter durch 10,9 teilen um auf den kWh Preis zu kommen.</t>
        </r>
      </text>
    </comment>
    <comment ref="J8" authorId="0" shapeId="0" xr:uid="{00000000-0006-0000-0000-000006000000}">
      <text>
        <r>
          <rPr>
            <sz val="10"/>
            <color rgb="FF000000"/>
            <rFont val="Arial"/>
            <scheme val="minor"/>
          </rPr>
          <t>Heißt eigentlich "Klimageschwindigkeitsbonus", aber das Feld war zu kurz.
Für Selbstnutzer bei Austausch von funktionstüchtigen Öl-, Kohle-, Gas-Etagen- und Nachtspeicherheizungen (ohne Anforderung an den Zeitpunkt der Inbetriebnahme) oder von funktionstüchtigen Gasheizungen oder Biomasseheizungen, wenn die Inbetriebnahme zum Zeitpunkt der Antragstellung mindestens 20 Jahre zurückliegt.</t>
        </r>
      </text>
    </comment>
    <comment ref="O8" authorId="0" shapeId="0" xr:uid="{00000000-0006-0000-0000-00000B000000}">
      <text>
        <r>
          <rPr>
            <sz val="10"/>
            <color rgb="FF000000"/>
            <rFont val="Arial"/>
            <scheme val="minor"/>
          </rPr>
          <t>Wenn als Wärmequelle Wasser, Erdreich oder Abwasser erschlossen wird oder ein natürliches Kältemittel eingesetzt wird</t>
        </r>
      </text>
    </comment>
    <comment ref="T8" authorId="0" shapeId="0" xr:uid="{00000000-0006-0000-0000-00000C000000}">
      <text>
        <r>
          <rPr>
            <sz val="10"/>
            <color rgb="FF000000"/>
            <rFont val="Arial"/>
            <scheme val="minor"/>
          </rPr>
          <t>Wenn als Wärmequelle Wasser, Erdreich oder Abwasser erschlossen wird oder ein natürliches Kältemittel eingesetzt wird.</t>
        </r>
      </text>
    </comment>
    <comment ref="E9" authorId="0" shapeId="0" xr:uid="{5C426023-ABB6-4F26-9E29-0E1636EA9F8A}">
      <text>
        <r>
          <rPr>
            <sz val="10"/>
            <color rgb="FF000000"/>
            <rFont val="Arial"/>
            <scheme val="minor"/>
          </rPr>
          <t>Dieser Wert kann nur als erster Anhaltspunkt dienen.</t>
        </r>
      </text>
    </comment>
    <comment ref="J9" authorId="0" shapeId="0" xr:uid="{00000000-0006-0000-0000-00000A000000}">
      <text>
        <r>
          <rPr>
            <sz val="10"/>
            <color rgb="FF000000"/>
            <rFont val="Arial"/>
            <scheme val="minor"/>
          </rPr>
          <t>Für selbstnutzende Eigentümer mit einem zu versteuernden Haushaltsjahreseinkommen von bis zu 40 000 Euro</t>
        </r>
      </text>
    </comment>
    <comment ref="E10" authorId="0" shapeId="0" xr:uid="{00000000-0006-0000-0000-00000D000000}">
      <text>
        <r>
          <rPr>
            <sz val="10"/>
            <color rgb="FF000000"/>
            <rFont val="Arial"/>
            <scheme val="minor"/>
          </rPr>
          <t xml:space="preserve">Durch CO₂-Steuer ist mit steigenden Öl- und Gaspreisen zu rechnen. Die Preise werden ohne ein externes Ereignis nicht  nochmal schlagartig steigen.
Durch die CO2-Abgabe wird der Preis/kWh bis 2040 um ca. 0,04€ steigen.
Wie sich die sinkende Nachfrage und Steuern auf den Preis auswirken? Keine Ahnung. </t>
        </r>
      </text>
    </comment>
    <comment ref="J10" authorId="0" shapeId="0" xr:uid="{00000000-0006-0000-0000-00000E000000}">
      <text>
        <r>
          <rPr>
            <sz val="10"/>
            <color rgb="FF000000"/>
            <rFont val="Arial"/>
            <scheme val="minor"/>
          </rPr>
          <t>Seit 01.01.2024 sind das 30.000€</t>
        </r>
      </text>
    </comment>
    <comment ref="E11" authorId="0" shapeId="0" xr:uid="{00000000-0006-0000-0000-00000F000000}">
      <text>
        <r>
          <rPr>
            <sz val="10"/>
            <color rgb="FF000000"/>
            <rFont val="Arial"/>
            <scheme val="minor"/>
          </rPr>
          <t>*Brennwert
Alte Heizkessel (meist vor 2000): 60%
NT (Niedertemperaturkessel: 80%
Brennwertkessel: 90%</t>
        </r>
      </text>
    </comment>
    <comment ref="J11" authorId="0" shapeId="0" xr:uid="{00000000-0006-0000-0000-000010000000}">
      <text>
        <r>
          <rPr>
            <sz val="10"/>
            <color rgb="FF000000"/>
            <rFont val="Arial"/>
            <scheme val="minor"/>
          </rPr>
          <t>Wichtig für die Höhe der Förderung.</t>
        </r>
      </text>
    </comment>
  </commentList>
</comments>
</file>

<file path=xl/sharedStrings.xml><?xml version="1.0" encoding="utf-8"?>
<sst xmlns="http://schemas.openxmlformats.org/spreadsheetml/2006/main" count="64" uniqueCount="40">
  <si>
    <t>Bestehende Heizung</t>
  </si>
  <si>
    <t>Wärmepumpe 1</t>
  </si>
  <si>
    <t>Wärmepumpe 2</t>
  </si>
  <si>
    <t>Startjahr</t>
  </si>
  <si>
    <t>WP-Strom kWh</t>
  </si>
  <si>
    <t>Name</t>
  </si>
  <si>
    <t>Heizungsart</t>
  </si>
  <si>
    <t>Gas</t>
  </si>
  <si>
    <t>Preissteigerung</t>
  </si>
  <si>
    <t>Jahresarbeitszahl</t>
  </si>
  <si>
    <t>Klimabonus</t>
  </si>
  <si>
    <t>Ja</t>
  </si>
  <si>
    <t>Kaufpreis</t>
  </si>
  <si>
    <t>Einkommensbonus</t>
  </si>
  <si>
    <t>Nein</t>
  </si>
  <si>
    <t>Effizienzbonus</t>
  </si>
  <si>
    <t>Förderfähige Kosten</t>
  </si>
  <si>
    <t>Förderung in %</t>
  </si>
  <si>
    <t>Einbaujahr</t>
  </si>
  <si>
    <t>KP nach Förderung</t>
  </si>
  <si>
    <t>Energiekosten</t>
  </si>
  <si>
    <t>Jahr</t>
  </si>
  <si>
    <t>WP-Strom</t>
  </si>
  <si>
    <t>jährliche Kosten</t>
  </si>
  <si>
    <t>Gesamtkosten</t>
  </si>
  <si>
    <t>Wärmepumpe Basis Daten</t>
  </si>
  <si>
    <t>Lambda JAZ 3,33</t>
  </si>
  <si>
    <t>Lambda JAZ 5,36</t>
  </si>
  <si>
    <t xml:space="preserve">Photovoltaikanlage </t>
  </si>
  <si>
    <t>erwartete Leistung/ Jahr kWh</t>
  </si>
  <si>
    <t>Rückerstattung Einspeisung / Jahr</t>
  </si>
  <si>
    <t>PV1</t>
  </si>
  <si>
    <t>Einspeisevergütung €/kWh</t>
  </si>
  <si>
    <t>Autarkie in %</t>
  </si>
  <si>
    <t>Wirkungsgrad</t>
  </si>
  <si>
    <t>Ersparnis nach 30 Jahren</t>
  </si>
  <si>
    <t>jährliche Degration</t>
  </si>
  <si>
    <t>Grundgebühr / Jahr</t>
  </si>
  <si>
    <t>Gasbrennwert</t>
  </si>
  <si>
    <t>neue Gasheizung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</si>
</sst>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kWh]"/>
    <numFmt numFmtId="165" formatCode="#,##0.00\ [$€-1]"/>
    <numFmt numFmtId="166" formatCode="#,##0\ [$€-1]"/>
    <numFmt numFmtId="167" formatCode="#,##0.00\ &quot;€&quot;"/>
    <numFmt numFmtId="168" formatCode="#,##0\ &quot;€&quot;"/>
  </numFmts>
  <fonts count="18">
    <font>
      <sz val="10"/>
      <color rgb="FF000000"/>
      <name val="Arial"/>
      <scheme val="minor"/>
    </font>
    <font>
      <sz val="10"/>
      <color theme="1"/>
      <name val="Nunito"/>
    </font>
    <font>
      <sz val="10"/>
      <color theme="1"/>
      <name val="Nunito"/>
    </font>
    <font>
      <sz val="16"/>
      <color theme="1"/>
      <name val="Nunito"/>
    </font>
    <font>
      <sz val="10"/>
      <name val="Arial"/>
    </font>
    <font>
      <sz val="12"/>
      <color theme="1"/>
      <name val="Nunito"/>
    </font>
    <font>
      <sz val="13"/>
      <color theme="1"/>
      <name val="Nunito"/>
    </font>
    <font>
      <u/>
      <sz val="13"/>
      <color rgb="FF0000FF"/>
      <name val="Nunito"/>
    </font>
    <font>
      <u/>
      <sz val="18"/>
      <color rgb="FFFFFFFF"/>
      <name val="Nunito"/>
    </font>
    <font>
      <sz val="10"/>
      <color rgb="FFFFFFFF"/>
      <name val="Nunito"/>
    </font>
    <font>
      <sz val="14"/>
      <color rgb="FFFFFFFF"/>
      <name val="Nunito"/>
    </font>
    <font>
      <sz val="14"/>
      <color rgb="FF000000"/>
      <name val="Nunito"/>
    </font>
    <font>
      <sz val="14"/>
      <color theme="1"/>
      <name val="Nunito"/>
    </font>
    <font>
      <sz val="10"/>
      <color theme="1"/>
      <name val="Arial"/>
      <scheme val="minor"/>
    </font>
    <font>
      <sz val="9"/>
      <color theme="1"/>
      <name val="&quot;Google Sans Mono&quot;"/>
    </font>
    <font>
      <u/>
      <sz val="10"/>
      <color theme="10"/>
      <name val="Arial"/>
      <scheme val="minor"/>
    </font>
    <font>
      <sz val="9"/>
      <color indexed="81"/>
      <name val="Segoe UI"/>
      <family val="2"/>
    </font>
    <font>
      <b/>
      <sz val="10"/>
      <color rgb="FF000000"/>
      <name val="Arial"/>
      <family val="2"/>
      <scheme val="minor"/>
    </font>
  </fonts>
  <fills count="18">
    <fill>
      <patternFill patternType="none"/>
    </fill>
    <fill>
      <patternFill patternType="gray125"/>
    </fill>
    <fill>
      <patternFill patternType="solid">
        <fgColor rgb="FFF9CB9C"/>
        <bgColor rgb="FFF9CB9C"/>
      </patternFill>
    </fill>
    <fill>
      <patternFill patternType="solid">
        <fgColor rgb="FF9FC5E8"/>
        <bgColor rgb="FF9FC5E8"/>
      </patternFill>
    </fill>
    <fill>
      <patternFill patternType="solid">
        <fgColor rgb="FFB4A7D6"/>
        <bgColor rgb="FFB4A7D6"/>
      </patternFill>
    </fill>
    <fill>
      <patternFill patternType="solid">
        <fgColor rgb="FFD5A6BD"/>
        <bgColor rgb="FFD5A6BD"/>
      </patternFill>
    </fill>
    <fill>
      <patternFill patternType="solid">
        <fgColor rgb="FFFCE5CD"/>
        <bgColor rgb="FFFCE5CD"/>
      </patternFill>
    </fill>
    <fill>
      <patternFill patternType="solid">
        <fgColor rgb="FFCFE2F3"/>
        <bgColor rgb="FFCFE2F3"/>
      </patternFill>
    </fill>
    <fill>
      <patternFill patternType="solid">
        <fgColor rgb="FFD9D2E9"/>
        <bgColor rgb="FFD9D2E9"/>
      </patternFill>
    </fill>
    <fill>
      <patternFill patternType="solid">
        <fgColor rgb="FFEAD1DC"/>
        <bgColor rgb="FFEAD1DC"/>
      </patternFill>
    </fill>
    <fill>
      <patternFill patternType="solid">
        <fgColor rgb="FFD9D9D9"/>
        <bgColor rgb="FFD9D9D9"/>
      </patternFill>
    </fill>
    <fill>
      <patternFill patternType="solid">
        <fgColor theme="6" tint="0.39997558519241921"/>
        <bgColor indexed="64"/>
      </patternFill>
    </fill>
    <fill>
      <patternFill patternType="solid">
        <fgColor theme="0"/>
        <bgColor rgb="FFCFE2F3"/>
      </patternFill>
    </fill>
    <fill>
      <patternFill patternType="solid">
        <fgColor theme="0" tint="-0.14999847407452621"/>
        <bgColor indexed="64"/>
      </patternFill>
    </fill>
    <fill>
      <patternFill patternType="solid">
        <fgColor theme="5" tint="0.59999389629810485"/>
        <bgColor rgb="FFD5A6BD"/>
      </patternFill>
    </fill>
    <fill>
      <patternFill patternType="solid">
        <fgColor theme="5" tint="0.59999389629810485"/>
        <bgColor rgb="FFFCE5CD"/>
      </patternFill>
    </fill>
    <fill>
      <patternFill patternType="solid">
        <fgColor theme="5" tint="0.59999389629810485"/>
        <bgColor rgb="FFD9D2E9"/>
      </patternFill>
    </fill>
    <fill>
      <patternFill patternType="solid">
        <fgColor theme="5" tint="0.59999389629810485"/>
        <bgColor indexed="64"/>
      </patternFill>
    </fill>
  </fills>
  <borders count="61">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ck">
        <color rgb="FF000000"/>
      </top>
      <bottom style="thin">
        <color rgb="FFB7B7B7"/>
      </bottom>
      <diagonal/>
    </border>
    <border>
      <left/>
      <right/>
      <top style="thick">
        <color rgb="FF000000"/>
      </top>
      <bottom style="thin">
        <color rgb="FFB7B7B7"/>
      </bottom>
      <diagonal/>
    </border>
    <border>
      <left/>
      <right style="thick">
        <color rgb="FF000000"/>
      </right>
      <top style="thick">
        <color rgb="FF000000"/>
      </top>
      <bottom style="thin">
        <color rgb="FFB7B7B7"/>
      </bottom>
      <diagonal/>
    </border>
    <border>
      <left style="thick">
        <color rgb="FF000000"/>
      </left>
      <right/>
      <top/>
      <bottom style="thin">
        <color rgb="FFB7B7B7"/>
      </bottom>
      <diagonal/>
    </border>
    <border>
      <left/>
      <right/>
      <top/>
      <bottom style="thin">
        <color rgb="FFB7B7B7"/>
      </bottom>
      <diagonal/>
    </border>
    <border>
      <left/>
      <right style="thin">
        <color rgb="FFB7B7B7"/>
      </right>
      <top/>
      <bottom style="thin">
        <color rgb="FFB7B7B7"/>
      </bottom>
      <diagonal/>
    </border>
    <border>
      <left style="thin">
        <color rgb="FFB7B7B7"/>
      </left>
      <right/>
      <top/>
      <bottom style="thin">
        <color rgb="FFB7B7B7"/>
      </bottom>
      <diagonal/>
    </border>
    <border>
      <left/>
      <right style="thick">
        <color rgb="FF000000"/>
      </right>
      <top/>
      <bottom style="thin">
        <color rgb="FFB7B7B7"/>
      </bottom>
      <diagonal/>
    </border>
    <border>
      <left style="thick">
        <color rgb="FF000000"/>
      </left>
      <right style="thin">
        <color rgb="FFB7B7B7"/>
      </right>
      <top style="thin">
        <color rgb="FFB7B7B7"/>
      </top>
      <bottom style="thin">
        <color rgb="FFB7B7B7"/>
      </bottom>
      <diagonal/>
    </border>
    <border>
      <left style="thin">
        <color rgb="FFB7B7B7"/>
      </left>
      <right/>
      <top style="thin">
        <color rgb="FFB7B7B7"/>
      </top>
      <bottom style="thin">
        <color rgb="FFB7B7B7"/>
      </bottom>
      <diagonal/>
    </border>
    <border>
      <left/>
      <right style="thick">
        <color rgb="FF000000"/>
      </right>
      <top style="thin">
        <color rgb="FFB7B7B7"/>
      </top>
      <bottom style="thin">
        <color rgb="FFB7B7B7"/>
      </bottom>
      <diagonal/>
    </border>
    <border>
      <left/>
      <right/>
      <top style="thin">
        <color rgb="FFB7B7B7"/>
      </top>
      <bottom style="thin">
        <color rgb="FFB7B7B7"/>
      </bottom>
      <diagonal/>
    </border>
    <border>
      <left style="thin">
        <color rgb="FFB7B7B7"/>
      </left>
      <right style="thin">
        <color rgb="FFB7B7B7"/>
      </right>
      <top style="thin">
        <color rgb="FFB7B7B7"/>
      </top>
      <bottom style="thin">
        <color rgb="FFB7B7B7"/>
      </bottom>
      <diagonal/>
    </border>
    <border>
      <left style="thick">
        <color rgb="FF000000"/>
      </left>
      <right/>
      <top style="thin">
        <color rgb="FFB7B7B7"/>
      </top>
      <bottom style="thin">
        <color rgb="FFB7B7B7"/>
      </bottom>
      <diagonal/>
    </border>
    <border>
      <left/>
      <right style="thin">
        <color rgb="FFB7B7B7"/>
      </right>
      <top style="thin">
        <color rgb="FFB7B7B7"/>
      </top>
      <bottom style="thin">
        <color rgb="FFB7B7B7"/>
      </bottom>
      <diagonal/>
    </border>
    <border>
      <left style="thin">
        <color rgb="FFB7B7B7"/>
      </left>
      <right style="thick">
        <color rgb="FF000000"/>
      </right>
      <top style="thin">
        <color rgb="FFB7B7B7"/>
      </top>
      <bottom style="thin">
        <color rgb="FFB7B7B7"/>
      </bottom>
      <diagonal/>
    </border>
    <border>
      <left style="thick">
        <color rgb="FF000000"/>
      </left>
      <right/>
      <top style="thin">
        <color rgb="FFB7B7B7"/>
      </top>
      <bottom style="thick">
        <color rgb="FF000000"/>
      </bottom>
      <diagonal/>
    </border>
    <border>
      <left/>
      <right style="thin">
        <color rgb="FFB7B7B7"/>
      </right>
      <top style="thin">
        <color rgb="FFB7B7B7"/>
      </top>
      <bottom style="thick">
        <color rgb="FF000000"/>
      </bottom>
      <diagonal/>
    </border>
    <border>
      <left style="thin">
        <color rgb="FFB7B7B7"/>
      </left>
      <right/>
      <top style="thin">
        <color rgb="FFB7B7B7"/>
      </top>
      <bottom style="thick">
        <color rgb="FF000000"/>
      </bottom>
      <diagonal/>
    </border>
    <border>
      <left/>
      <right style="thick">
        <color rgb="FF000000"/>
      </right>
      <top style="thin">
        <color rgb="FFB7B7B7"/>
      </top>
      <bottom style="thick">
        <color rgb="FF000000"/>
      </bottom>
      <diagonal/>
    </border>
    <border>
      <left style="thin">
        <color rgb="FFB7B7B7"/>
      </left>
      <right style="thick">
        <color rgb="FF000000"/>
      </right>
      <top style="thin">
        <color rgb="FFB7B7B7"/>
      </top>
      <bottom style="thick">
        <color rgb="FF000000"/>
      </bottom>
      <diagonal/>
    </border>
    <border>
      <left/>
      <right/>
      <top style="thin">
        <color rgb="FFB7B7B7"/>
      </top>
      <bottom style="thick">
        <color rgb="FF000000"/>
      </bottom>
      <diagonal/>
    </border>
    <border>
      <left style="thick">
        <color rgb="FF000000"/>
      </left>
      <right style="thin">
        <color rgb="FFB7B7B7"/>
      </right>
      <top style="thin">
        <color rgb="FFB7B7B7"/>
      </top>
      <bottom style="thick">
        <color rgb="FF000000"/>
      </bottom>
      <diagonal/>
    </border>
    <border>
      <left style="thin">
        <color rgb="FFB7B7B7"/>
      </left>
      <right style="thin">
        <color rgb="FFB7B7B7"/>
      </right>
      <top style="thin">
        <color rgb="FFB7B7B7"/>
      </top>
      <bottom style="thick">
        <color rgb="FF000000"/>
      </bottom>
      <diagonal/>
    </border>
    <border>
      <left style="thick">
        <color rgb="FF000000"/>
      </left>
      <right style="thin">
        <color rgb="FFB7B7B7"/>
      </right>
      <top/>
      <bottom style="thin">
        <color rgb="FFB7B7B7"/>
      </bottom>
      <diagonal/>
    </border>
    <border>
      <left style="thin">
        <color rgb="FFB7B7B7"/>
      </left>
      <right style="thick">
        <color rgb="FF000000"/>
      </right>
      <top/>
      <bottom style="thin">
        <color rgb="FFB7B7B7"/>
      </bottom>
      <diagonal/>
    </border>
    <border>
      <left style="thin">
        <color rgb="FFB7B7B7"/>
      </left>
      <right style="thick">
        <color rgb="FF000000"/>
      </right>
      <top style="thin">
        <color rgb="FFB7B7B7"/>
      </top>
      <bottom style="thin">
        <color rgb="FF000000"/>
      </bottom>
      <diagonal/>
    </border>
    <border>
      <left style="thin">
        <color rgb="FFB7B7B7"/>
      </left>
      <right/>
      <top style="thin">
        <color rgb="FFB7B7B7"/>
      </top>
      <bottom style="thin">
        <color rgb="FF000000"/>
      </bottom>
      <diagonal/>
    </border>
    <border>
      <left/>
      <right style="thick">
        <color rgb="FF000000"/>
      </right>
      <top style="thin">
        <color rgb="FFB7B7B7"/>
      </top>
      <bottom style="thin">
        <color rgb="FF000000"/>
      </bottom>
      <diagonal/>
    </border>
    <border>
      <left style="thin">
        <color rgb="FFB7B7B7"/>
      </left>
      <right/>
      <top style="thin">
        <color rgb="FFB7B7B7"/>
      </top>
      <bottom/>
      <diagonal/>
    </border>
    <border>
      <left/>
      <right/>
      <top style="thin">
        <color rgb="FFB7B7B7"/>
      </top>
      <bottom/>
      <diagonal/>
    </border>
    <border>
      <left/>
      <right style="thick">
        <color rgb="FF000000"/>
      </right>
      <top style="thin">
        <color rgb="FFB7B7B7"/>
      </top>
      <bottom/>
      <diagonal/>
    </border>
    <border>
      <left style="thick">
        <color rgb="FF000000"/>
      </left>
      <right/>
      <top style="thin">
        <color rgb="FFB7B7B7"/>
      </top>
      <bottom/>
      <diagonal/>
    </border>
    <border>
      <left/>
      <right style="thin">
        <color rgb="FFB7B7B7"/>
      </right>
      <top style="thin">
        <color rgb="FFB7B7B7"/>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rgb="FF000000"/>
      </left>
      <right/>
      <top style="thin">
        <color rgb="FFB7B7B7"/>
      </top>
      <bottom style="thin">
        <color indexed="64"/>
      </bottom>
      <diagonal/>
    </border>
    <border>
      <left/>
      <right style="thin">
        <color rgb="FFB7B7B7"/>
      </right>
      <top style="thin">
        <color rgb="FFB7B7B7"/>
      </top>
      <bottom style="thin">
        <color indexed="64"/>
      </bottom>
      <diagonal/>
    </border>
    <border>
      <left style="thin">
        <color rgb="FFB7B7B7"/>
      </left>
      <right/>
      <top style="thin">
        <color rgb="FFB7B7B7"/>
      </top>
      <bottom style="thin">
        <color indexed="64"/>
      </bottom>
      <diagonal/>
    </border>
    <border>
      <left/>
      <right style="thick">
        <color rgb="FF000000"/>
      </right>
      <top style="thin">
        <color rgb="FFB7B7B7"/>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rgb="FFB7B7B7"/>
      </left>
      <right/>
      <top/>
      <bottom style="thick">
        <color rgb="FF000000"/>
      </bottom>
      <diagonal/>
    </border>
    <border>
      <left/>
      <right style="thin">
        <color rgb="FFB7B7B7"/>
      </right>
      <top/>
      <bottom style="thick">
        <color rgb="FF000000"/>
      </bottom>
      <diagonal/>
    </border>
    <border>
      <left style="double">
        <color indexed="64"/>
      </left>
      <right/>
      <top/>
      <bottom/>
      <diagonal/>
    </border>
    <border>
      <left style="thick">
        <color rgb="FF000000"/>
      </left>
      <right/>
      <top/>
      <bottom/>
      <diagonal/>
    </border>
    <border>
      <left style="thick">
        <color indexed="64"/>
      </left>
      <right/>
      <top style="thin">
        <color rgb="FFB7B7B7"/>
      </top>
      <bottom/>
      <diagonal/>
    </border>
    <border>
      <left style="thick">
        <color rgb="FF000000"/>
      </left>
      <right style="thick">
        <color indexed="64"/>
      </right>
      <top/>
      <bottom/>
      <diagonal/>
    </border>
    <border>
      <left/>
      <right/>
      <top/>
      <bottom style="thick">
        <color rgb="FF000000"/>
      </bottom>
      <diagonal/>
    </border>
    <border>
      <left style="thick">
        <color indexed="64"/>
      </left>
      <right/>
      <top/>
      <bottom/>
      <diagonal/>
    </border>
    <border>
      <left/>
      <right style="thick">
        <color indexed="64"/>
      </right>
      <top style="thick">
        <color rgb="FF000000"/>
      </top>
      <bottom style="thin">
        <color rgb="FFB7B7B7"/>
      </bottom>
      <diagonal/>
    </border>
    <border>
      <left/>
      <right style="medium">
        <color indexed="64"/>
      </right>
      <top/>
      <bottom style="thin">
        <color rgb="FFB7B7B7"/>
      </bottom>
      <diagonal/>
    </border>
    <border>
      <left/>
      <right style="medium">
        <color indexed="64"/>
      </right>
      <top style="thin">
        <color rgb="FFB7B7B7"/>
      </top>
      <bottom style="thin">
        <color rgb="FFB7B7B7"/>
      </bottom>
      <diagonal/>
    </border>
    <border>
      <left/>
      <right style="medium">
        <color indexed="64"/>
      </right>
      <top style="thin">
        <color rgb="FFB7B7B7"/>
      </top>
      <bottom style="medium">
        <color indexed="64"/>
      </bottom>
      <diagonal/>
    </border>
  </borders>
  <cellStyleXfs count="2">
    <xf numFmtId="0" fontId="0" fillId="0" borderId="0"/>
    <xf numFmtId="0" fontId="15" fillId="0" borderId="0" applyNumberFormat="0" applyFill="0" applyBorder="0" applyAlignment="0" applyProtection="0"/>
  </cellStyleXfs>
  <cellXfs count="160">
    <xf numFmtId="0" fontId="0" fillId="0" borderId="0" xfId="0"/>
    <xf numFmtId="0" fontId="1" fillId="0" borderId="0" xfId="0" applyFont="1"/>
    <xf numFmtId="0" fontId="2" fillId="0" borderId="0" xfId="0" applyFont="1"/>
    <xf numFmtId="164" fontId="1" fillId="0" borderId="0" xfId="0" applyNumberFormat="1" applyFont="1"/>
    <xf numFmtId="0" fontId="3" fillId="0" borderId="0" xfId="0" applyFont="1"/>
    <xf numFmtId="0" fontId="6" fillId="8" borderId="12" xfId="0" applyFont="1" applyFill="1" applyBorder="1"/>
    <xf numFmtId="0" fontId="6" fillId="0" borderId="0" xfId="0" applyFont="1"/>
    <xf numFmtId="0" fontId="6" fillId="9" borderId="12" xfId="0" applyFont="1" applyFill="1" applyBorder="1"/>
    <xf numFmtId="0" fontId="5" fillId="6" borderId="12" xfId="0" applyFont="1" applyFill="1" applyBorder="1"/>
    <xf numFmtId="0" fontId="5" fillId="6" borderId="16" xfId="0" applyFont="1" applyFill="1" applyBorder="1"/>
    <xf numFmtId="0" fontId="6" fillId="0" borderId="19" xfId="0" applyFont="1" applyBorder="1"/>
    <xf numFmtId="166" fontId="6" fillId="0" borderId="19" xfId="0" applyNumberFormat="1" applyFont="1" applyBorder="1"/>
    <xf numFmtId="166" fontId="6" fillId="0" borderId="0" xfId="0" applyNumberFormat="1" applyFont="1"/>
    <xf numFmtId="0" fontId="6" fillId="0" borderId="19" xfId="0" applyFont="1" applyBorder="1" applyAlignment="1">
      <alignment horizontal="center"/>
    </xf>
    <xf numFmtId="9" fontId="6" fillId="0" borderId="19" xfId="0" applyNumberFormat="1" applyFont="1" applyBorder="1"/>
    <xf numFmtId="9" fontId="6" fillId="0" borderId="0" xfId="0" applyNumberFormat="1" applyFont="1"/>
    <xf numFmtId="166" fontId="6" fillId="0" borderId="24" xfId="0" applyNumberFormat="1" applyFont="1" applyBorder="1"/>
    <xf numFmtId="0" fontId="5" fillId="6" borderId="26" xfId="0" applyFont="1" applyFill="1" applyBorder="1"/>
    <xf numFmtId="0" fontId="5" fillId="6" borderId="27" xfId="0" applyFont="1" applyFill="1" applyBorder="1"/>
    <xf numFmtId="0" fontId="8" fillId="0" borderId="0" xfId="0" applyFont="1" applyAlignment="1">
      <alignment horizontal="center" vertical="center"/>
    </xf>
    <xf numFmtId="0" fontId="9" fillId="0" borderId="0" xfId="0" applyFont="1"/>
    <xf numFmtId="0" fontId="10" fillId="0" borderId="0" xfId="0" applyFont="1" applyAlignment="1">
      <alignment horizontal="center" vertical="center"/>
    </xf>
    <xf numFmtId="0" fontId="11" fillId="0" borderId="0" xfId="0" applyFont="1" applyAlignment="1">
      <alignment horizontal="center" vertical="center"/>
    </xf>
    <xf numFmtId="0" fontId="1" fillId="0" borderId="0" xfId="0" applyFont="1" applyAlignment="1">
      <alignment horizontal="center"/>
    </xf>
    <xf numFmtId="0" fontId="12" fillId="0" borderId="0" xfId="0" applyFont="1" applyAlignment="1">
      <alignment horizontal="center"/>
    </xf>
    <xf numFmtId="0" fontId="1" fillId="0" borderId="12" xfId="0" applyFont="1" applyBorder="1"/>
    <xf numFmtId="0" fontId="1" fillId="0" borderId="16" xfId="0" applyFont="1" applyBorder="1"/>
    <xf numFmtId="0" fontId="1" fillId="0" borderId="19" xfId="0" applyFont="1" applyBorder="1"/>
    <xf numFmtId="0" fontId="1" fillId="6" borderId="12" xfId="0" applyFont="1" applyFill="1" applyBorder="1"/>
    <xf numFmtId="0" fontId="1" fillId="6" borderId="13" xfId="0" applyFont="1" applyFill="1" applyBorder="1"/>
    <xf numFmtId="0" fontId="1" fillId="6" borderId="19" xfId="0" applyFont="1" applyFill="1" applyBorder="1"/>
    <xf numFmtId="0" fontId="1" fillId="8" borderId="19" xfId="0" applyFont="1" applyFill="1" applyBorder="1"/>
    <xf numFmtId="0" fontId="1" fillId="9" borderId="28" xfId="0" applyFont="1" applyFill="1" applyBorder="1"/>
    <xf numFmtId="0" fontId="13" fillId="0" borderId="12" xfId="0" applyFont="1" applyBorder="1"/>
    <xf numFmtId="0" fontId="13" fillId="0" borderId="16" xfId="0" applyFont="1" applyBorder="1"/>
    <xf numFmtId="165" fontId="14" fillId="0" borderId="16" xfId="0" applyNumberFormat="1" applyFont="1" applyBorder="1"/>
    <xf numFmtId="165" fontId="14" fillId="0" borderId="19" xfId="0" applyNumberFormat="1" applyFont="1" applyBorder="1"/>
    <xf numFmtId="165" fontId="14" fillId="0" borderId="0" xfId="0" applyNumberFormat="1" applyFont="1"/>
    <xf numFmtId="165" fontId="14" fillId="0" borderId="12" xfId="0" applyNumberFormat="1" applyFont="1" applyBorder="1"/>
    <xf numFmtId="0" fontId="13" fillId="10" borderId="12" xfId="0" applyFont="1" applyFill="1" applyBorder="1"/>
    <xf numFmtId="0" fontId="13" fillId="10" borderId="16" xfId="0" applyFont="1" applyFill="1" applyBorder="1"/>
    <xf numFmtId="165" fontId="14" fillId="10" borderId="16" xfId="0" applyNumberFormat="1" applyFont="1" applyFill="1" applyBorder="1"/>
    <xf numFmtId="165" fontId="14" fillId="10" borderId="19" xfId="0" applyNumberFormat="1" applyFont="1" applyFill="1" applyBorder="1"/>
    <xf numFmtId="165" fontId="14" fillId="0" borderId="30" xfId="0" applyNumberFormat="1" applyFont="1" applyBorder="1"/>
    <xf numFmtId="165" fontId="14" fillId="0" borderId="29" xfId="0" applyNumberFormat="1" applyFont="1" applyBorder="1"/>
    <xf numFmtId="0" fontId="13" fillId="0" borderId="0" xfId="0" applyFont="1"/>
    <xf numFmtId="0" fontId="13" fillId="10" borderId="26" xfId="0" applyFont="1" applyFill="1" applyBorder="1"/>
    <xf numFmtId="0" fontId="13" fillId="10" borderId="27" xfId="0" applyFont="1" applyFill="1" applyBorder="1"/>
    <xf numFmtId="165" fontId="14" fillId="10" borderId="27" xfId="0" applyNumberFormat="1" applyFont="1" applyFill="1" applyBorder="1"/>
    <xf numFmtId="165" fontId="14" fillId="10" borderId="24" xfId="0" applyNumberFormat="1" applyFont="1" applyFill="1" applyBorder="1"/>
    <xf numFmtId="165" fontId="14" fillId="0" borderId="24" xfId="0" applyNumberFormat="1" applyFont="1" applyBorder="1"/>
    <xf numFmtId="0" fontId="4" fillId="0" borderId="15" xfId="0" applyFont="1" applyBorder="1"/>
    <xf numFmtId="167" fontId="6" fillId="0" borderId="19" xfId="0" applyNumberFormat="1" applyFont="1" applyBorder="1"/>
    <xf numFmtId="167" fontId="6" fillId="0" borderId="24" xfId="0" applyNumberFormat="1" applyFont="1" applyBorder="1"/>
    <xf numFmtId="168" fontId="6" fillId="0" borderId="19" xfId="0" applyNumberFormat="1" applyFont="1" applyBorder="1"/>
    <xf numFmtId="167" fontId="0" fillId="0" borderId="0" xfId="0" applyNumberFormat="1"/>
    <xf numFmtId="165" fontId="0" fillId="0" borderId="0" xfId="0" applyNumberFormat="1"/>
    <xf numFmtId="0" fontId="0" fillId="11" borderId="0" xfId="0" applyFill="1"/>
    <xf numFmtId="165" fontId="0" fillId="11" borderId="0" xfId="0" applyNumberFormat="1" applyFill="1"/>
    <xf numFmtId="0" fontId="17" fillId="0" borderId="0" xfId="0" applyFont="1" applyAlignment="1">
      <alignment horizontal="right"/>
    </xf>
    <xf numFmtId="10" fontId="17" fillId="0" borderId="0" xfId="0" applyNumberFormat="1" applyFont="1" applyAlignment="1">
      <alignment horizontal="right"/>
    </xf>
    <xf numFmtId="10" fontId="0" fillId="0" borderId="0" xfId="0" applyNumberFormat="1"/>
    <xf numFmtId="0" fontId="0" fillId="0" borderId="51" xfId="0" applyBorder="1"/>
    <xf numFmtId="0" fontId="0" fillId="0" borderId="52" xfId="0" applyBorder="1"/>
    <xf numFmtId="0" fontId="0" fillId="0" borderId="54" xfId="0" applyBorder="1"/>
    <xf numFmtId="0" fontId="0" fillId="0" borderId="56" xfId="0" applyBorder="1"/>
    <xf numFmtId="0" fontId="3" fillId="14" borderId="4" xfId="0" applyFont="1" applyFill="1" applyBorder="1"/>
    <xf numFmtId="0" fontId="3" fillId="14" borderId="5" xfId="0" applyFont="1" applyFill="1" applyBorder="1"/>
    <xf numFmtId="167" fontId="5" fillId="15" borderId="33" xfId="0" applyNumberFormat="1" applyFont="1" applyFill="1" applyBorder="1"/>
    <xf numFmtId="9" fontId="5" fillId="15" borderId="49" xfId="0" applyNumberFormat="1" applyFont="1" applyFill="1" applyBorder="1"/>
    <xf numFmtId="0" fontId="3" fillId="14" borderId="57" xfId="0" applyFont="1" applyFill="1" applyBorder="1"/>
    <xf numFmtId="0" fontId="1" fillId="16" borderId="14" xfId="0" applyFont="1" applyFill="1" applyBorder="1"/>
    <xf numFmtId="165" fontId="14" fillId="0" borderId="35" xfId="0" applyNumberFormat="1" applyFont="1" applyBorder="1"/>
    <xf numFmtId="165" fontId="14" fillId="0" borderId="58" xfId="0" applyNumberFormat="1" applyFont="1" applyBorder="1"/>
    <xf numFmtId="165" fontId="14" fillId="0" borderId="59" xfId="0" applyNumberFormat="1" applyFont="1" applyBorder="1"/>
    <xf numFmtId="165" fontId="14" fillId="0" borderId="60" xfId="0" applyNumberFormat="1" applyFont="1" applyBorder="1"/>
    <xf numFmtId="165" fontId="14" fillId="0" borderId="46" xfId="0" applyNumberFormat="1" applyFont="1" applyBorder="1" applyAlignment="1">
      <alignment horizontal="center"/>
    </xf>
    <xf numFmtId="165" fontId="14" fillId="0" borderId="0" xfId="0" applyNumberFormat="1" applyFont="1" applyAlignment="1">
      <alignment horizontal="center"/>
    </xf>
    <xf numFmtId="165" fontId="14" fillId="0" borderId="47" xfId="0" applyNumberFormat="1" applyFont="1" applyBorder="1" applyAlignment="1">
      <alignment horizontal="center"/>
    </xf>
    <xf numFmtId="165" fontId="14" fillId="0" borderId="48" xfId="0" applyNumberFormat="1" applyFont="1" applyBorder="1" applyAlignment="1">
      <alignment horizontal="center"/>
    </xf>
    <xf numFmtId="0" fontId="5" fillId="15" borderId="53" xfId="0" applyFont="1" applyFill="1" applyBorder="1" applyAlignment="1">
      <alignment horizontal="center"/>
    </xf>
    <xf numFmtId="0" fontId="5" fillId="15" borderId="37" xfId="0" applyFont="1" applyFill="1" applyBorder="1" applyAlignment="1">
      <alignment horizontal="center"/>
    </xf>
    <xf numFmtId="0" fontId="5" fillId="15" borderId="55" xfId="0" applyFont="1" applyFill="1" applyBorder="1" applyAlignment="1">
      <alignment horizontal="center"/>
    </xf>
    <xf numFmtId="0" fontId="5" fillId="15" borderId="50" xfId="0" applyFont="1" applyFill="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166" fontId="6" fillId="0" borderId="42" xfId="0" applyNumberFormat="1" applyFont="1" applyBorder="1" applyAlignment="1">
      <alignment horizontal="center"/>
    </xf>
    <xf numFmtId="166" fontId="6" fillId="0" borderId="43" xfId="0" applyNumberFormat="1" applyFont="1" applyBorder="1" applyAlignment="1">
      <alignment horizontal="center"/>
    </xf>
    <xf numFmtId="0" fontId="1" fillId="16" borderId="36" xfId="0" applyFont="1" applyFill="1" applyBorder="1"/>
    <xf numFmtId="0" fontId="4" fillId="17" borderId="34" xfId="0" applyFont="1" applyFill="1" applyBorder="1"/>
    <xf numFmtId="0" fontId="12" fillId="4" borderId="4" xfId="0" applyFont="1" applyFill="1" applyBorder="1" applyAlignment="1">
      <alignment horizontal="center"/>
    </xf>
    <xf numFmtId="0" fontId="12" fillId="4" borderId="5" xfId="0" applyFont="1" applyFill="1" applyBorder="1" applyAlignment="1">
      <alignment horizontal="center"/>
    </xf>
    <xf numFmtId="0" fontId="12" fillId="4" borderId="6" xfId="0" applyFont="1" applyFill="1" applyBorder="1" applyAlignment="1">
      <alignment horizontal="center"/>
    </xf>
    <xf numFmtId="0" fontId="12" fillId="5" borderId="1" xfId="0" applyFont="1" applyFill="1" applyBorder="1" applyAlignment="1">
      <alignment horizontal="center"/>
    </xf>
    <xf numFmtId="0" fontId="4" fillId="0" borderId="2" xfId="0" applyFont="1" applyBorder="1"/>
    <xf numFmtId="0" fontId="4" fillId="0" borderId="3" xfId="0" applyFont="1" applyBorder="1"/>
    <xf numFmtId="0" fontId="1" fillId="9" borderId="10" xfId="0" applyFont="1" applyFill="1" applyBorder="1"/>
    <xf numFmtId="0" fontId="4" fillId="0" borderId="11" xfId="0" applyFont="1" applyBorder="1"/>
    <xf numFmtId="165" fontId="14" fillId="0" borderId="13" xfId="0" applyNumberFormat="1" applyFont="1" applyBorder="1"/>
    <xf numFmtId="0" fontId="4" fillId="0" borderId="14" xfId="0" applyFont="1" applyBorder="1"/>
    <xf numFmtId="0" fontId="1" fillId="8" borderId="17" xfId="0" applyFont="1" applyFill="1" applyBorder="1"/>
    <xf numFmtId="0" fontId="1" fillId="8" borderId="18" xfId="0" applyFont="1" applyFill="1" applyBorder="1"/>
    <xf numFmtId="165" fontId="14" fillId="0" borderId="17" xfId="0" applyNumberFormat="1" applyFont="1" applyBorder="1"/>
    <xf numFmtId="165" fontId="14" fillId="0" borderId="18" xfId="0" applyNumberFormat="1" applyFont="1" applyBorder="1"/>
    <xf numFmtId="0" fontId="6" fillId="9" borderId="17" xfId="0" applyFont="1" applyFill="1" applyBorder="1"/>
    <xf numFmtId="0" fontId="4" fillId="0" borderId="15" xfId="0" applyFont="1" applyBorder="1"/>
    <xf numFmtId="0" fontId="4" fillId="0" borderId="18" xfId="0" applyFont="1" applyBorder="1"/>
    <xf numFmtId="165" fontId="6" fillId="0" borderId="13" xfId="0" applyNumberFormat="1" applyFont="1" applyBorder="1"/>
    <xf numFmtId="0" fontId="6" fillId="7" borderId="38" xfId="0" applyFont="1" applyFill="1" applyBorder="1"/>
    <xf numFmtId="0" fontId="4" fillId="0" borderId="39" xfId="0" applyFont="1" applyBorder="1"/>
    <xf numFmtId="0" fontId="6" fillId="12" borderId="44" xfId="0" applyFont="1" applyFill="1" applyBorder="1"/>
    <xf numFmtId="0" fontId="6" fillId="12" borderId="45" xfId="0" applyFont="1" applyFill="1" applyBorder="1"/>
    <xf numFmtId="0" fontId="3" fillId="5" borderId="4" xfId="0" applyFont="1" applyFill="1" applyBorder="1"/>
    <xf numFmtId="0" fontId="4" fillId="0" borderId="5" xfId="0" applyFont="1" applyBorder="1"/>
    <xf numFmtId="0" fontId="4" fillId="0" borderId="6" xfId="0" applyFont="1" applyBorder="1"/>
    <xf numFmtId="0" fontId="6" fillId="0" borderId="13" xfId="0" applyFont="1" applyBorder="1"/>
    <xf numFmtId="0" fontId="15" fillId="9" borderId="17" xfId="1" applyFill="1" applyBorder="1"/>
    <xf numFmtId="0" fontId="15" fillId="0" borderId="15" xfId="1" applyBorder="1"/>
    <xf numFmtId="0" fontId="15" fillId="0" borderId="18" xfId="1" applyBorder="1"/>
    <xf numFmtId="0" fontId="6" fillId="9" borderId="20" xfId="0" applyFont="1" applyFill="1" applyBorder="1"/>
    <xf numFmtId="0" fontId="4" fillId="0" borderId="25" xfId="0" applyFont="1" applyBorder="1"/>
    <xf numFmtId="0" fontId="4" fillId="0" borderId="21" xfId="0" applyFont="1" applyBorder="1"/>
    <xf numFmtId="0" fontId="0" fillId="0" borderId="0" xfId="0"/>
    <xf numFmtId="165" fontId="14" fillId="13" borderId="17" xfId="0" applyNumberFormat="1" applyFont="1" applyFill="1" applyBorder="1"/>
    <xf numFmtId="165" fontId="14" fillId="13" borderId="18" xfId="0" applyNumberFormat="1" applyFont="1" applyFill="1" applyBorder="1"/>
    <xf numFmtId="165" fontId="14" fillId="0" borderId="22" xfId="0" applyNumberFormat="1" applyFont="1" applyBorder="1"/>
    <xf numFmtId="0" fontId="4" fillId="0" borderId="23" xfId="0" applyFont="1" applyBorder="1"/>
    <xf numFmtId="0" fontId="0" fillId="11" borderId="2" xfId="0" applyFill="1" applyBorder="1"/>
    <xf numFmtId="165" fontId="14" fillId="0" borderId="31" xfId="0" applyNumberFormat="1" applyFont="1" applyBorder="1"/>
    <xf numFmtId="0" fontId="4" fillId="0" borderId="32" xfId="0" applyFont="1" applyBorder="1"/>
    <xf numFmtId="165" fontId="14" fillId="0" borderId="10" xfId="0" applyNumberFormat="1" applyFont="1" applyBorder="1"/>
    <xf numFmtId="0" fontId="3" fillId="2" borderId="1" xfId="0" applyFont="1" applyFill="1" applyBorder="1"/>
    <xf numFmtId="0" fontId="5" fillId="6" borderId="7" xfId="0" applyFont="1" applyFill="1" applyBorder="1"/>
    <xf numFmtId="0" fontId="4" fillId="0" borderId="8" xfId="0" applyFont="1" applyBorder="1"/>
    <xf numFmtId="0" fontId="4" fillId="0" borderId="9" xfId="0" applyFont="1" applyBorder="1"/>
    <xf numFmtId="165" fontId="6" fillId="0" borderId="10" xfId="0" applyNumberFormat="1" applyFont="1" applyBorder="1" applyAlignment="1">
      <alignment horizontal="center"/>
    </xf>
    <xf numFmtId="165" fontId="6" fillId="0" borderId="11" xfId="0" applyNumberFormat="1" applyFont="1" applyBorder="1" applyAlignment="1">
      <alignment horizontal="center"/>
    </xf>
    <xf numFmtId="10" fontId="6" fillId="0" borderId="22" xfId="0" applyNumberFormat="1" applyFont="1" applyBorder="1"/>
    <xf numFmtId="10" fontId="4" fillId="0" borderId="23" xfId="0" applyNumberFormat="1" applyFont="1" applyBorder="1"/>
    <xf numFmtId="0" fontId="12" fillId="0" borderId="4" xfId="0" applyFont="1" applyBorder="1" applyAlignment="1">
      <alignment horizontal="center" vertical="center"/>
    </xf>
    <xf numFmtId="164" fontId="6" fillId="0" borderId="13" xfId="0" applyNumberFormat="1" applyFont="1" applyBorder="1"/>
    <xf numFmtId="0" fontId="6" fillId="7" borderId="17" xfId="0" applyFont="1" applyFill="1" applyBorder="1"/>
    <xf numFmtId="10" fontId="6" fillId="0" borderId="13" xfId="0" applyNumberFormat="1" applyFont="1" applyBorder="1"/>
    <xf numFmtId="10" fontId="6" fillId="0" borderId="14" xfId="0" applyNumberFormat="1" applyFont="1" applyBorder="1"/>
    <xf numFmtId="0" fontId="6" fillId="7" borderId="40" xfId="0" applyFont="1" applyFill="1" applyBorder="1"/>
    <xf numFmtId="0" fontId="4" fillId="0" borderId="41" xfId="0" applyFont="1" applyBorder="1"/>
    <xf numFmtId="0" fontId="12" fillId="2" borderId="4" xfId="0" applyFont="1" applyFill="1" applyBorder="1" applyAlignment="1">
      <alignment horizontal="center"/>
    </xf>
    <xf numFmtId="0" fontId="12" fillId="2" borderId="5" xfId="0" applyFont="1" applyFill="1" applyBorder="1" applyAlignment="1">
      <alignment horizontal="center"/>
    </xf>
    <xf numFmtId="0" fontId="12" fillId="2" borderId="6" xfId="0" applyFont="1" applyFill="1" applyBorder="1" applyAlignment="1">
      <alignment horizontal="center"/>
    </xf>
    <xf numFmtId="0" fontId="6" fillId="0" borderId="10" xfId="0" applyFont="1" applyBorder="1"/>
    <xf numFmtId="0" fontId="6" fillId="7" borderId="7" xfId="0" applyFont="1" applyFill="1" applyBorder="1"/>
    <xf numFmtId="0" fontId="3" fillId="4" borderId="4" xfId="0" applyFont="1" applyFill="1" applyBorder="1"/>
    <xf numFmtId="0" fontId="7" fillId="8" borderId="17" xfId="0" applyFont="1" applyFill="1" applyBorder="1"/>
    <xf numFmtId="0" fontId="6" fillId="8" borderId="17" xfId="0" applyFont="1" applyFill="1" applyBorder="1"/>
    <xf numFmtId="10" fontId="6" fillId="0" borderId="13" xfId="0" applyNumberFormat="1" applyFont="1" applyBorder="1" applyAlignment="1">
      <alignment horizontal="center"/>
    </xf>
    <xf numFmtId="10" fontId="6" fillId="0" borderId="14" xfId="0" applyNumberFormat="1" applyFont="1" applyBorder="1" applyAlignment="1">
      <alignment horizontal="center"/>
    </xf>
    <xf numFmtId="0" fontId="3" fillId="3" borderId="1" xfId="0" applyFont="1" applyFill="1" applyBorder="1"/>
    <xf numFmtId="0" fontId="3" fillId="3" borderId="2" xfId="0" applyFont="1" applyFill="1" applyBorder="1"/>
    <xf numFmtId="0" fontId="3" fillId="3" borderId="3" xfId="0" applyFont="1" applyFill="1" applyBorder="1"/>
    <xf numFmtId="0" fontId="6" fillId="8" borderId="20" xfId="0" applyFont="1" applyFill="1" applyBorder="1"/>
  </cellXfs>
  <cellStyles count="2">
    <cellStyle name="Link" xfId="1" builtinId="8"/>
    <cellStyle name="Standard" xfId="0" builtinId="0"/>
  </cellStyles>
  <dxfs count="16">
    <dxf>
      <fill>
        <patternFill patternType="solid">
          <fgColor rgb="FFEA9999"/>
          <bgColor rgb="FFEA9999"/>
        </patternFill>
      </fill>
    </dxf>
    <dxf>
      <fill>
        <patternFill patternType="solid">
          <fgColor rgb="FFB7E1CD"/>
          <bgColor rgb="FFB7E1CD"/>
        </patternFill>
      </fill>
    </dxf>
    <dxf>
      <fill>
        <patternFill patternType="solid">
          <fgColor rgb="FFEA9999"/>
          <bgColor rgb="FFEA9999"/>
        </patternFill>
      </fill>
    </dxf>
    <dxf>
      <fill>
        <patternFill patternType="solid">
          <fgColor rgb="FFB7E1CD"/>
          <bgColor rgb="FFB7E1CD"/>
        </patternFill>
      </fill>
    </dxf>
    <dxf>
      <fill>
        <patternFill patternType="solid">
          <fgColor rgb="FFEA9999"/>
          <bgColor rgb="FFEA9999"/>
        </patternFill>
      </fill>
    </dxf>
    <dxf>
      <fill>
        <patternFill patternType="solid">
          <fgColor rgb="FFB7E1CD"/>
          <bgColor rgb="FFB7E1CD"/>
        </patternFill>
      </fill>
    </dxf>
    <dxf>
      <fill>
        <patternFill patternType="solid">
          <fgColor rgb="FFD9EAD3"/>
          <bgColor rgb="FFD9EAD3"/>
        </patternFill>
      </fill>
    </dxf>
    <dxf>
      <fill>
        <patternFill patternType="solid">
          <fgColor rgb="FFF4CCCC"/>
          <bgColor rgb="FFF4CCCC"/>
        </patternFill>
      </fill>
    </dxf>
    <dxf>
      <fill>
        <patternFill patternType="solid">
          <fgColor rgb="FFEA9999"/>
          <bgColor rgb="FFEA9999"/>
        </patternFill>
      </fill>
    </dxf>
    <dxf>
      <fill>
        <patternFill patternType="solid">
          <fgColor rgb="FFB7E1CD"/>
          <bgColor rgb="FFB7E1CD"/>
        </patternFill>
      </fill>
    </dxf>
    <dxf>
      <fill>
        <patternFill patternType="solid">
          <fgColor rgb="FFF4CCCC"/>
          <bgColor rgb="FFF4CCCC"/>
        </patternFill>
      </fill>
    </dxf>
    <dxf>
      <fill>
        <patternFill patternType="solid">
          <fgColor rgb="FFD9EAD3"/>
          <bgColor rgb="FFD9EAD3"/>
        </patternFill>
      </fill>
    </dxf>
    <dxf>
      <fill>
        <patternFill patternType="solid">
          <fgColor rgb="FFEA9999"/>
          <bgColor rgb="FFEA9999"/>
        </patternFill>
      </fill>
    </dxf>
    <dxf>
      <fill>
        <patternFill patternType="solid">
          <fgColor rgb="FFB7E1CD"/>
          <bgColor rgb="FFB7E1CD"/>
        </patternFill>
      </fill>
    </dxf>
    <dxf>
      <fill>
        <patternFill patternType="solid">
          <fgColor rgb="FFD9EAD3"/>
          <bgColor rgb="FFD9EAD3"/>
        </patternFill>
      </fill>
    </dxf>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www.energieatlas.nrw.de/site/karte_solarkataster" TargetMode="External"/><Relationship Id="rId1" Type="http://schemas.openxmlformats.org/officeDocument/2006/relationships/hyperlink" Target="https://schlau-energiesparen.de/jazrechner"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D48"/>
  <sheetViews>
    <sheetView showGridLines="0" tabSelected="1" zoomScale="90" zoomScaleNormal="90" workbookViewId="0">
      <selection activeCell="Y9" sqref="Y9"/>
    </sheetView>
  </sheetViews>
  <sheetFormatPr baseColWidth="10" defaultColWidth="12.61328125" defaultRowHeight="15.75" customHeight="1"/>
  <cols>
    <col min="1" max="1" width="3" customWidth="1"/>
    <col min="2" max="3" width="5.23046875" customWidth="1"/>
    <col min="4" max="4" width="10" customWidth="1"/>
    <col min="5" max="5" width="10.23046875" customWidth="1"/>
    <col min="6" max="6" width="3.765625" customWidth="1"/>
    <col min="7" max="7" width="4.4609375" customWidth="1"/>
    <col min="8" max="8" width="8.84375" customWidth="1"/>
    <col min="9" max="9" width="13.15234375" customWidth="1"/>
    <col min="10" max="10" width="5.15234375" customWidth="1"/>
    <col min="11" max="11" width="9" customWidth="1"/>
    <col min="12" max="12" width="4.23046875" customWidth="1"/>
    <col min="13" max="13" width="13.23046875" customWidth="1"/>
    <col min="14" max="14" width="6.3828125" customWidth="1"/>
    <col min="15" max="15" width="13.15234375" customWidth="1"/>
    <col min="16" max="16" width="5.23046875" customWidth="1"/>
    <col min="17" max="17" width="10.84375" customWidth="1"/>
    <col min="18" max="18" width="4.4609375" customWidth="1"/>
    <col min="19" max="19" width="13.23046875" customWidth="1"/>
    <col min="20" max="20" width="14.61328125" customWidth="1"/>
    <col min="21" max="21" width="4.765625" customWidth="1"/>
    <col min="24" max="24" width="7.53515625" customWidth="1"/>
    <col min="25" max="25" width="10.3828125" customWidth="1"/>
    <col min="29" max="29" width="12.921875" bestFit="1" customWidth="1"/>
  </cols>
  <sheetData>
    <row r="1" spans="2:30" ht="26.25" customHeight="1"/>
    <row r="2" spans="2:30" ht="15">
      <c r="B2" s="2"/>
      <c r="C2" s="1"/>
      <c r="D2" s="3"/>
      <c r="E2" s="1"/>
      <c r="F2" s="1"/>
      <c r="G2" s="1"/>
      <c r="H2" s="1"/>
      <c r="I2" s="1"/>
      <c r="J2" s="1"/>
      <c r="K2" s="1"/>
      <c r="L2" s="1"/>
      <c r="M2" s="1"/>
      <c r="N2" s="1"/>
      <c r="O2" s="1"/>
      <c r="P2" s="1"/>
      <c r="Q2" s="1"/>
      <c r="R2" s="1"/>
      <c r="S2" s="1"/>
      <c r="T2" s="1"/>
      <c r="U2" s="1"/>
    </row>
    <row r="3" spans="2:30" ht="15.45" thickBot="1">
      <c r="B3" s="1"/>
      <c r="C3" s="1"/>
      <c r="D3" s="3"/>
      <c r="E3" s="1"/>
      <c r="F3" s="1"/>
      <c r="G3" s="1"/>
      <c r="H3" s="1"/>
      <c r="I3" s="1"/>
      <c r="J3" s="1"/>
      <c r="K3" s="1"/>
      <c r="L3" s="1"/>
      <c r="M3" s="1"/>
      <c r="N3" s="1"/>
      <c r="O3" s="1"/>
      <c r="P3" s="1"/>
      <c r="Q3" s="1"/>
      <c r="R3" s="1"/>
      <c r="S3" s="1"/>
      <c r="T3" s="1"/>
      <c r="U3" s="1"/>
    </row>
    <row r="4" spans="2:30" ht="21.75" customHeight="1" thickTop="1">
      <c r="B4" s="131" t="s">
        <v>0</v>
      </c>
      <c r="C4" s="94"/>
      <c r="D4" s="94"/>
      <c r="E4" s="94"/>
      <c r="F4" s="95"/>
      <c r="G4" s="4"/>
      <c r="H4" s="156" t="s">
        <v>25</v>
      </c>
      <c r="I4" s="157"/>
      <c r="J4" s="157"/>
      <c r="K4" s="158"/>
      <c r="M4" s="151" t="s">
        <v>1</v>
      </c>
      <c r="N4" s="113"/>
      <c r="O4" s="114"/>
      <c r="P4" s="4"/>
      <c r="Q4" s="112" t="s">
        <v>2</v>
      </c>
      <c r="R4" s="113"/>
      <c r="S4" s="113"/>
      <c r="T4" s="114"/>
      <c r="V4" s="112" t="s">
        <v>28</v>
      </c>
      <c r="W4" s="113"/>
      <c r="X4" s="113"/>
      <c r="Y4" s="114"/>
      <c r="AA4" s="66" t="s">
        <v>38</v>
      </c>
      <c r="AB4" s="66"/>
      <c r="AC4" s="67"/>
      <c r="AD4" s="62"/>
    </row>
    <row r="5" spans="2:30" ht="21.75" customHeight="1">
      <c r="B5" s="132" t="s">
        <v>3</v>
      </c>
      <c r="C5" s="133"/>
      <c r="D5" s="134"/>
      <c r="E5" s="149">
        <v>2024</v>
      </c>
      <c r="F5" s="97"/>
      <c r="H5" s="150" t="s">
        <v>4</v>
      </c>
      <c r="I5" s="134"/>
      <c r="J5" s="135">
        <v>0.32</v>
      </c>
      <c r="K5" s="136"/>
      <c r="M5" s="5" t="s">
        <v>5</v>
      </c>
      <c r="N5" s="115" t="s">
        <v>27</v>
      </c>
      <c r="O5" s="99"/>
      <c r="P5" s="6"/>
      <c r="Q5" s="7" t="s">
        <v>5</v>
      </c>
      <c r="R5" s="115" t="s">
        <v>26</v>
      </c>
      <c r="S5" s="105"/>
      <c r="T5" s="99"/>
      <c r="V5" s="7" t="s">
        <v>5</v>
      </c>
      <c r="W5" s="115" t="s">
        <v>31</v>
      </c>
      <c r="X5" s="105"/>
      <c r="Y5" s="99"/>
      <c r="Z5" s="63"/>
      <c r="AA5" s="80" t="s">
        <v>12</v>
      </c>
      <c r="AB5" s="81"/>
      <c r="AC5" s="68">
        <v>10000</v>
      </c>
      <c r="AD5" s="65"/>
    </row>
    <row r="6" spans="2:30" ht="21.75" customHeight="1" thickBot="1">
      <c r="B6" s="8" t="s">
        <v>6</v>
      </c>
      <c r="C6" s="9"/>
      <c r="D6" s="9"/>
      <c r="E6" s="115" t="s">
        <v>7</v>
      </c>
      <c r="F6" s="99"/>
      <c r="H6" s="141" t="s">
        <v>37</v>
      </c>
      <c r="I6" s="106"/>
      <c r="J6" s="107">
        <v>120</v>
      </c>
      <c r="K6" s="99"/>
      <c r="M6" s="152" t="s">
        <v>9</v>
      </c>
      <c r="N6" s="106"/>
      <c r="O6" s="10">
        <v>5.36</v>
      </c>
      <c r="P6" s="6"/>
      <c r="Q6" s="104" t="s">
        <v>9</v>
      </c>
      <c r="R6" s="105"/>
      <c r="S6" s="106"/>
      <c r="T6" s="10">
        <v>3.33</v>
      </c>
      <c r="V6" s="116" t="s">
        <v>29</v>
      </c>
      <c r="W6" s="117"/>
      <c r="X6" s="118"/>
      <c r="Y6" s="10">
        <v>7645</v>
      </c>
      <c r="Z6" s="64"/>
      <c r="AA6" s="82" t="str">
        <f>"Wirkungsgrad "&amp;AD1</f>
        <v xml:space="preserve">Wirkungsgrad </v>
      </c>
      <c r="AB6" s="83"/>
      <c r="AC6" s="69">
        <v>0.9</v>
      </c>
      <c r="AD6" s="65"/>
    </row>
    <row r="7" spans="2:30" ht="21.75" customHeight="1" thickTop="1">
      <c r="B7" s="8" t="str">
        <f>"Jahresverbrauch "&amp;$E$6</f>
        <v>Jahresverbrauch Gas</v>
      </c>
      <c r="C7" s="9"/>
      <c r="D7" s="9"/>
      <c r="E7" s="140">
        <v>17000</v>
      </c>
      <c r="F7" s="99"/>
      <c r="H7" s="141" t="s">
        <v>8</v>
      </c>
      <c r="I7" s="106"/>
      <c r="J7" s="154">
        <v>0.02</v>
      </c>
      <c r="K7" s="155"/>
      <c r="M7" s="153" t="s">
        <v>12</v>
      </c>
      <c r="N7" s="106"/>
      <c r="O7" s="11">
        <v>32000</v>
      </c>
      <c r="P7" s="12"/>
      <c r="Q7" s="104" t="s">
        <v>12</v>
      </c>
      <c r="R7" s="105"/>
      <c r="S7" s="106"/>
      <c r="T7" s="11">
        <v>32000</v>
      </c>
      <c r="V7" s="104" t="s">
        <v>33</v>
      </c>
      <c r="W7" s="105"/>
      <c r="X7" s="106"/>
      <c r="Y7" s="14">
        <v>0.45</v>
      </c>
    </row>
    <row r="8" spans="2:30" ht="21.75" customHeight="1">
      <c r="B8" s="8" t="str">
        <f>E6&amp;"preis pro kWh"</f>
        <v>Gaspreis pro kWh</v>
      </c>
      <c r="C8" s="9"/>
      <c r="D8" s="9"/>
      <c r="E8" s="107">
        <v>0.1</v>
      </c>
      <c r="F8" s="99"/>
      <c r="H8" s="141" t="s">
        <v>10</v>
      </c>
      <c r="I8" s="106"/>
      <c r="J8" s="84" t="s">
        <v>11</v>
      </c>
      <c r="K8" s="85"/>
      <c r="M8" s="153" t="s">
        <v>15</v>
      </c>
      <c r="N8" s="106"/>
      <c r="O8" s="13" t="s">
        <v>11</v>
      </c>
      <c r="Q8" s="104" t="s">
        <v>15</v>
      </c>
      <c r="R8" s="105"/>
      <c r="S8" s="106"/>
      <c r="T8" s="13" t="s">
        <v>11</v>
      </c>
      <c r="V8" s="104" t="s">
        <v>12</v>
      </c>
      <c r="W8" s="105"/>
      <c r="X8" s="106"/>
      <c r="Y8" s="54">
        <v>17000</v>
      </c>
    </row>
    <row r="9" spans="2:30" ht="21.75" customHeight="1">
      <c r="B9" s="8" t="s">
        <v>37</v>
      </c>
      <c r="C9" s="9"/>
      <c r="D9" s="9"/>
      <c r="E9" s="107">
        <f>8.34*12</f>
        <v>100.08</v>
      </c>
      <c r="F9" s="99"/>
      <c r="H9" s="141" t="s">
        <v>13</v>
      </c>
      <c r="I9" s="106"/>
      <c r="J9" s="84" t="s">
        <v>14</v>
      </c>
      <c r="K9" s="85"/>
      <c r="M9" s="153" t="s">
        <v>17</v>
      </c>
      <c r="N9" s="106"/>
      <c r="O9" s="14">
        <f>IF(IF(O6&lt;3,0,0.3+IF($J$8="Ja",VLOOKUP($J$11,Klimabonus!A:B,2,FALSE),0)+IF($J$9="Ja",0.3,0)+IF(O8="Ja",0.05,0))&gt;0.7,0.7,IF(O6&lt;3,0,0.3+IF($J$8="Ja",VLOOKUP(J11,Klimabonus!A:B,2,FALSE),0)+IF($J$9="Ja",0.3,0)+IF(O8="Ja",0.05,0)))</f>
        <v>0.55000000000000004</v>
      </c>
      <c r="P9" s="15"/>
      <c r="Q9" s="104" t="s">
        <v>17</v>
      </c>
      <c r="R9" s="105"/>
      <c r="S9" s="106"/>
      <c r="T9" s="14">
        <f>IF(IF(T6&lt;3,0,0.3+IF($J$8="Ja",VLOOKUP($J$11,Klimabonus!A:B,2,FALSE),0)+IF($J$9="Ja",0.3,0)+IF(T8="Ja",0.05,0))&gt;0.7,0.7,IF(T6&lt;3,0,0.3+IF($J$8="Ja",VLOOKUP($J$11,Klimabonus!A:B,2,FALSE),0)+IF($J$9="Ja",0.3,0)+IF(T8="Ja",0.05,0)))</f>
        <v>0.55000000000000004</v>
      </c>
      <c r="V9" s="104" t="s">
        <v>32</v>
      </c>
      <c r="W9" s="105"/>
      <c r="X9" s="106"/>
      <c r="Y9" s="52">
        <v>0.08</v>
      </c>
    </row>
    <row r="10" spans="2:30" ht="21.75" customHeight="1" thickBot="1">
      <c r="B10" s="8" t="str">
        <f>"Preissteigerung "&amp;E6</f>
        <v>Preissteigerung Gas</v>
      </c>
      <c r="C10" s="9"/>
      <c r="D10" s="9"/>
      <c r="E10" s="142">
        <v>0.05</v>
      </c>
      <c r="F10" s="143"/>
      <c r="H10" s="144" t="s">
        <v>16</v>
      </c>
      <c r="I10" s="145"/>
      <c r="J10" s="86">
        <v>30000</v>
      </c>
      <c r="K10" s="87"/>
      <c r="M10" s="159" t="s">
        <v>19</v>
      </c>
      <c r="N10" s="121"/>
      <c r="O10" s="16">
        <f>IF(O7&lt;J10,O7*(1-O9),O7-J10+J10*(1-O9))</f>
        <v>15499.999999999998</v>
      </c>
      <c r="P10" s="12"/>
      <c r="Q10" s="119" t="s">
        <v>19</v>
      </c>
      <c r="R10" s="120"/>
      <c r="S10" s="121"/>
      <c r="T10" s="16">
        <f>IF(T7&lt;J10,T7*(1-T9),T7-J10+J10*(1-T9))</f>
        <v>15499.999999999998</v>
      </c>
      <c r="V10" s="119" t="s">
        <v>30</v>
      </c>
      <c r="W10" s="120"/>
      <c r="X10" s="121"/>
      <c r="Y10" s="53">
        <f>(Y6-(Y6*Y7))*0.08</f>
        <v>336.38</v>
      </c>
    </row>
    <row r="11" spans="2:30" ht="21.75" customHeight="1" thickTop="1" thickBot="1">
      <c r="B11" s="17" t="str">
        <f>"Wirkungsgrad "&amp;E6</f>
        <v>Wirkungsgrad Gas</v>
      </c>
      <c r="C11" s="18"/>
      <c r="D11" s="18"/>
      <c r="E11" s="137">
        <v>0.8</v>
      </c>
      <c r="F11" s="138"/>
      <c r="G11" s="51"/>
      <c r="H11" s="108" t="s">
        <v>18</v>
      </c>
      <c r="I11" s="109"/>
      <c r="J11" s="110">
        <f>E5</f>
        <v>2024</v>
      </c>
      <c r="K11" s="111"/>
      <c r="L11" s="19"/>
      <c r="M11" s="19"/>
      <c r="N11" s="1"/>
      <c r="S11" s="1"/>
    </row>
    <row r="12" spans="2:30" ht="25.5" customHeight="1" thickTop="1">
      <c r="B12" s="1"/>
      <c r="C12" s="1"/>
      <c r="D12" s="1"/>
      <c r="E12" s="1"/>
      <c r="F12" s="1"/>
      <c r="G12" s="1"/>
      <c r="H12" s="20"/>
      <c r="I12" s="20"/>
      <c r="J12" s="19"/>
      <c r="K12" s="21"/>
      <c r="L12" s="21"/>
      <c r="M12" s="21"/>
      <c r="N12" s="21"/>
      <c r="O12" s="22"/>
      <c r="P12" s="1"/>
      <c r="Q12" s="1"/>
      <c r="R12" s="1"/>
      <c r="S12" s="1"/>
    </row>
    <row r="13" spans="2:30" ht="15.45" thickBot="1">
      <c r="B13" s="1"/>
      <c r="C13" s="1"/>
      <c r="D13" s="1"/>
      <c r="E13" s="23"/>
      <c r="F13" s="23"/>
      <c r="G13" s="23"/>
      <c r="H13" s="23"/>
      <c r="I13" s="23"/>
      <c r="J13" s="23"/>
      <c r="K13" s="23"/>
      <c r="L13" s="23"/>
      <c r="M13" s="23"/>
      <c r="N13" s="23"/>
      <c r="O13" s="23"/>
      <c r="P13" s="23"/>
      <c r="Q13" s="23"/>
    </row>
    <row r="14" spans="2:30" ht="22.5" customHeight="1" thickTop="1">
      <c r="B14" s="139" t="s">
        <v>20</v>
      </c>
      <c r="C14" s="113"/>
      <c r="D14" s="113"/>
      <c r="E14" s="114"/>
      <c r="F14" s="23"/>
      <c r="G14" s="146" t="s">
        <v>0</v>
      </c>
      <c r="H14" s="147"/>
      <c r="I14" s="148"/>
      <c r="J14" s="24"/>
      <c r="K14" s="90" t="str">
        <f>"WP1: "&amp;N5</f>
        <v>WP1: Lambda JAZ 5,36</v>
      </c>
      <c r="L14" s="91"/>
      <c r="M14" s="92"/>
      <c r="O14" s="93" t="str">
        <f>"WP2: "&amp;R5</f>
        <v>WP2: Lambda JAZ 3,33</v>
      </c>
      <c r="P14" s="94"/>
      <c r="Q14" s="95"/>
      <c r="T14" s="90" t="str">
        <f>"WP1 &amp; "&amp;W5</f>
        <v>WP1 &amp; PV1</v>
      </c>
      <c r="U14" s="113"/>
      <c r="V14" s="114"/>
      <c r="X14" s="66" t="s">
        <v>39</v>
      </c>
      <c r="Y14" s="66"/>
      <c r="Z14" s="70"/>
    </row>
    <row r="15" spans="2:30" ht="15">
      <c r="B15" s="25" t="s">
        <v>21</v>
      </c>
      <c r="C15" s="26"/>
      <c r="D15" s="26" t="s">
        <v>22</v>
      </c>
      <c r="E15" s="27" t="str">
        <f>E6&amp;"preis"</f>
        <v>Gaspreis</v>
      </c>
      <c r="F15" s="1"/>
      <c r="G15" s="28" t="s">
        <v>23</v>
      </c>
      <c r="H15" s="29"/>
      <c r="I15" s="30" t="s">
        <v>24</v>
      </c>
      <c r="K15" s="100" t="s">
        <v>23</v>
      </c>
      <c r="L15" s="101"/>
      <c r="M15" s="31" t="s">
        <v>24</v>
      </c>
      <c r="O15" s="32" t="s">
        <v>23</v>
      </c>
      <c r="P15" s="96" t="s">
        <v>24</v>
      </c>
      <c r="Q15" s="97"/>
      <c r="T15" s="100" t="s">
        <v>23</v>
      </c>
      <c r="U15" s="106"/>
      <c r="V15" s="31" t="s">
        <v>24</v>
      </c>
      <c r="W15" s="55"/>
      <c r="X15" s="88" t="s">
        <v>23</v>
      </c>
      <c r="Y15" s="89"/>
      <c r="Z15" s="71" t="s">
        <v>24</v>
      </c>
    </row>
    <row r="16" spans="2:30" ht="12.45">
      <c r="B16" s="33">
        <v>0</v>
      </c>
      <c r="C16" s="34">
        <f>E5</f>
        <v>2024</v>
      </c>
      <c r="D16" s="35">
        <f>J5</f>
        <v>0.32</v>
      </c>
      <c r="E16" s="36">
        <f>E8</f>
        <v>0.1</v>
      </c>
      <c r="F16" s="37"/>
      <c r="G16" s="102">
        <f>$E$7*E16+$E$9</f>
        <v>1800.08</v>
      </c>
      <c r="H16" s="103"/>
      <c r="I16" s="36">
        <f>G16</f>
        <v>1800.08</v>
      </c>
      <c r="K16" s="102">
        <f>IF($C16=$J$11,O10,0)+IF($C16&lt;$J$11,G16,$E$7*$E$11/$O$6*$D16+($J$6))</f>
        <v>16431.940298507459</v>
      </c>
      <c r="L16" s="103"/>
      <c r="M16" s="36">
        <f>K16</f>
        <v>16431.940298507459</v>
      </c>
      <c r="O16" s="38">
        <f>IF($C16=$J$11,T10,0)+IF($C16&lt;$J$11,G16,$E$7*$E$11/$T$6*$D16+($J$6-$E$9)+$J$6)</f>
        <v>16946.826906906907</v>
      </c>
      <c r="P16" s="98">
        <f>O16</f>
        <v>16946.826906906907</v>
      </c>
      <c r="Q16" s="99"/>
      <c r="T16" s="102">
        <f>IF($C16=$J$11,O10+Y8,0)+IF($C16&lt;$J$11,G16,$E$7*$E$11/$O$6*$D16*(1-$Y$7)-($Y$10*'Degradation der Module'!B3)+$J$6)</f>
        <v>32731.869064179104</v>
      </c>
      <c r="U16" s="106"/>
      <c r="V16" s="36">
        <f>T16</f>
        <v>32731.869064179104</v>
      </c>
      <c r="X16" s="76">
        <f>$AC$5+$E$7*$AC$6*E16+$E$9</f>
        <v>11630.08</v>
      </c>
      <c r="Y16" s="77"/>
      <c r="Z16" s="72">
        <f>X16</f>
        <v>11630.08</v>
      </c>
    </row>
    <row r="17" spans="2:28" ht="12.45">
      <c r="B17" s="33">
        <v>1</v>
      </c>
      <c r="C17" s="34">
        <f t="shared" ref="C17:C46" si="0">C16+1</f>
        <v>2025</v>
      </c>
      <c r="D17" s="35">
        <f t="shared" ref="D17:D46" si="1">$J$5*(1+$J$7)^($C17-$E$5)</f>
        <v>0.32640000000000002</v>
      </c>
      <c r="E17" s="36">
        <f t="shared" ref="E17:E46" si="2">$E$8*(1+$E$10)^($C17-$E$5)</f>
        <v>0.10500000000000001</v>
      </c>
      <c r="F17" s="37"/>
      <c r="G17" s="102">
        <f t="shared" ref="G17:G46" si="3">$E$7*E17+$E$9</f>
        <v>1885.0800000000002</v>
      </c>
      <c r="H17" s="103"/>
      <c r="I17" s="36">
        <f t="shared" ref="I17:I46" si="4">I16+G17</f>
        <v>3685.16</v>
      </c>
      <c r="K17" s="102">
        <f t="shared" ref="K17:K46" si="5">IF($C17=$J$11,O11,0)+IF($C17&lt;$J$11,G17,$E$7*$E$11/$O$6*$D17+($J$6))</f>
        <v>948.17910447761187</v>
      </c>
      <c r="L17" s="103"/>
      <c r="M17" s="36">
        <f t="shared" ref="M17:M46" si="6">M16+K17</f>
        <v>17380.11940298507</v>
      </c>
      <c r="O17" s="38">
        <f t="shared" ref="O17:O18" si="7">IF($C17=$J$11,T11,0)+IF($C17&lt;$J$11,G17,$E$7*$E$11/$T$6*$D17+($J$6-$E$9)+$J$6)</f>
        <v>1472.9650450450451</v>
      </c>
      <c r="P17" s="98">
        <f t="shared" ref="P17:P46" si="8">P16+O17</f>
        <v>18419.791951951953</v>
      </c>
      <c r="Q17" s="99"/>
      <c r="T17" s="102">
        <f>IF($C17=$J$11,O11+Y9,0)+IF($C17&lt;$J$11,G17,$E$7*$E$11/$O$6*$D17*(1-$Y$7)-($Y$10*'Degradation der Module'!B4)+$J$6)</f>
        <v>242.48230746268661</v>
      </c>
      <c r="U17" s="106"/>
      <c r="V17" s="36">
        <f t="shared" ref="V17:V46" si="9">V16+T17</f>
        <v>32974.351371641787</v>
      </c>
      <c r="X17" s="76">
        <f t="shared" ref="X17:X46" si="10">$E$7*$AC$6*E17+$E$9</f>
        <v>1706.5800000000002</v>
      </c>
      <c r="Y17" s="77"/>
      <c r="Z17" s="73">
        <f t="shared" ref="Z17:Z46" si="11">Z16+X17</f>
        <v>13336.66</v>
      </c>
    </row>
    <row r="18" spans="2:28" ht="12.45">
      <c r="B18" s="33">
        <v>2</v>
      </c>
      <c r="C18" s="34">
        <f t="shared" si="0"/>
        <v>2026</v>
      </c>
      <c r="D18" s="35">
        <f t="shared" si="1"/>
        <v>0.332928</v>
      </c>
      <c r="E18" s="36">
        <f t="shared" si="2"/>
        <v>0.11025000000000001</v>
      </c>
      <c r="F18" s="37"/>
      <c r="G18" s="102">
        <f t="shared" si="3"/>
        <v>1974.3300000000002</v>
      </c>
      <c r="H18" s="103"/>
      <c r="I18" s="36">
        <f t="shared" si="4"/>
        <v>5659.49</v>
      </c>
      <c r="K18" s="102">
        <f t="shared" si="5"/>
        <v>964.74268656716401</v>
      </c>
      <c r="L18" s="103"/>
      <c r="M18" s="36">
        <f t="shared" si="6"/>
        <v>18344.862089552233</v>
      </c>
      <c r="O18" s="38">
        <f t="shared" si="7"/>
        <v>1499.6259459459459</v>
      </c>
      <c r="P18" s="98">
        <f t="shared" si="8"/>
        <v>19919.4178978979</v>
      </c>
      <c r="Q18" s="99"/>
      <c r="T18" s="102">
        <f>IF($C18=$J$11,O12+Y10,0)+IF($C18&lt;$J$11,G18,$E$7*$E$11/$O$6*$D18*(1-$Y$7)-($Y$10*'Degradation der Module'!B5)+$J$6)</f>
        <v>253.27417761194027</v>
      </c>
      <c r="U18" s="106"/>
      <c r="V18" s="36">
        <f t="shared" si="9"/>
        <v>33227.625549253731</v>
      </c>
      <c r="X18" s="76">
        <f t="shared" si="10"/>
        <v>1786.9050000000002</v>
      </c>
      <c r="Y18" s="77"/>
      <c r="Z18" s="74">
        <f t="shared" si="11"/>
        <v>15123.565000000001</v>
      </c>
    </row>
    <row r="19" spans="2:28" ht="12.45">
      <c r="B19" s="33">
        <v>3</v>
      </c>
      <c r="C19" s="34">
        <f t="shared" si="0"/>
        <v>2027</v>
      </c>
      <c r="D19" s="35">
        <f t="shared" si="1"/>
        <v>0.33958655999999998</v>
      </c>
      <c r="E19" s="36">
        <f t="shared" si="2"/>
        <v>0.11576250000000002</v>
      </c>
      <c r="F19" s="37"/>
      <c r="G19" s="102">
        <f t="shared" si="3"/>
        <v>2068.0425000000005</v>
      </c>
      <c r="H19" s="103"/>
      <c r="I19" s="36">
        <f t="shared" si="4"/>
        <v>7727.5325000000003</v>
      </c>
      <c r="K19" s="102">
        <f t="shared" si="5"/>
        <v>981.63754029850725</v>
      </c>
      <c r="L19" s="103"/>
      <c r="M19" s="36">
        <f t="shared" si="6"/>
        <v>19326.499629850739</v>
      </c>
      <c r="O19" s="38">
        <f>IF($C19=$J$11,#REF!,0)+IF($C19&lt;$J$11,G19,$E$7*$E$11/$T$6*$D19+($J$6-$E$9)+$J$6)</f>
        <v>1526.8200648648647</v>
      </c>
      <c r="P19" s="98">
        <f t="shared" si="8"/>
        <v>21446.237962762763</v>
      </c>
      <c r="Q19" s="99"/>
      <c r="T19" s="102">
        <f>IF($C19=$J$11,O13+Y11,0)+IF($C19&lt;$J$11,G19,$E$7*$E$11/$O$6*$D19*(1-$Y$7)-($Y$10*'Degradation der Module'!B6)+$J$6)</f>
        <v>264.24824716417902</v>
      </c>
      <c r="U19" s="106"/>
      <c r="V19" s="36">
        <f t="shared" si="9"/>
        <v>33491.873796417909</v>
      </c>
      <c r="X19" s="76">
        <f t="shared" si="10"/>
        <v>1871.2462500000001</v>
      </c>
      <c r="Y19" s="77"/>
      <c r="Z19" s="74">
        <f t="shared" si="11"/>
        <v>16994.811249999999</v>
      </c>
    </row>
    <row r="20" spans="2:28" ht="12.45">
      <c r="B20" s="33">
        <v>4</v>
      </c>
      <c r="C20" s="34">
        <f t="shared" si="0"/>
        <v>2028</v>
      </c>
      <c r="D20" s="35">
        <f t="shared" si="1"/>
        <v>0.34637829120000002</v>
      </c>
      <c r="E20" s="36">
        <f t="shared" si="2"/>
        <v>0.12155062500000001</v>
      </c>
      <c r="F20" s="37"/>
      <c r="G20" s="102">
        <f t="shared" si="3"/>
        <v>2166.4406250000002</v>
      </c>
      <c r="H20" s="103"/>
      <c r="I20" s="36">
        <f t="shared" si="4"/>
        <v>9893.9731250000004</v>
      </c>
      <c r="K20" s="102">
        <f t="shared" si="5"/>
        <v>998.87029110447759</v>
      </c>
      <c r="L20" s="103"/>
      <c r="M20" s="36">
        <f t="shared" si="6"/>
        <v>20325.369920955218</v>
      </c>
      <c r="O20" s="38">
        <f>IF($C20=$J$11,#REF!,0)+IF($C20&lt;$J$11,G20,$E$7*$E$11/$T$6*$D20+($J$6-$E$9)+$J$6)</f>
        <v>1554.5580661621623</v>
      </c>
      <c r="P20" s="98">
        <f t="shared" si="8"/>
        <v>23000.796028924924</v>
      </c>
      <c r="Q20" s="99"/>
      <c r="T20" s="102">
        <f>IF($C20=$J$11,O14+Y12,0)+IF($C20&lt;$J$11,G20,$E$7*$E$11/$O$6*$D20*(1-$Y$7)-($Y$10*'Degradation der Module'!B7)+$J$6)</f>
        <v>275.40816010746272</v>
      </c>
      <c r="U20" s="106"/>
      <c r="V20" s="36">
        <f t="shared" si="9"/>
        <v>33767.281956525374</v>
      </c>
      <c r="X20" s="76">
        <f t="shared" si="10"/>
        <v>1959.8045625</v>
      </c>
      <c r="Y20" s="77"/>
      <c r="Z20" s="74">
        <f t="shared" si="11"/>
        <v>18954.6158125</v>
      </c>
      <c r="AB20" s="56"/>
    </row>
    <row r="21" spans="2:28" ht="12.45">
      <c r="B21" s="33">
        <v>5</v>
      </c>
      <c r="C21" s="34">
        <f t="shared" si="0"/>
        <v>2029</v>
      </c>
      <c r="D21" s="35">
        <f t="shared" si="1"/>
        <v>0.35330585702400003</v>
      </c>
      <c r="E21" s="36">
        <f t="shared" si="2"/>
        <v>0.12762815625000001</v>
      </c>
      <c r="F21" s="37"/>
      <c r="G21" s="102">
        <f t="shared" si="3"/>
        <v>2269.7586562500001</v>
      </c>
      <c r="H21" s="103"/>
      <c r="I21" s="36">
        <f t="shared" si="4"/>
        <v>12163.73178125</v>
      </c>
      <c r="K21" s="102">
        <f t="shared" si="5"/>
        <v>1016.4476969265671</v>
      </c>
      <c r="L21" s="103"/>
      <c r="M21" s="36">
        <f t="shared" si="6"/>
        <v>21341.817617881785</v>
      </c>
      <c r="O21" s="38">
        <f>IF($C21=$J$11,#REF!,0)+IF($C21&lt;$J$11,G21,$E$7*$E$11/$T$6*$D21+($J$6-$E$9)+$J$6)</f>
        <v>1582.8508274854055</v>
      </c>
      <c r="P21" s="98">
        <f t="shared" si="8"/>
        <v>24583.646856410331</v>
      </c>
      <c r="Q21" s="99"/>
      <c r="T21" s="102">
        <f>IF($C21=$J$11,O15+Y13,0)+IF($C21&lt;$J$11,G21,$E$7*$E$11/$O$6*$D21*(1-$Y$7)-($Y$10*'Degradation der Module'!B8)+$J$6)</f>
        <v>286.757633309612</v>
      </c>
      <c r="U21" s="106"/>
      <c r="V21" s="36">
        <f t="shared" si="9"/>
        <v>34054.039589834989</v>
      </c>
      <c r="X21" s="76">
        <f t="shared" si="10"/>
        <v>2052.7907906250002</v>
      </c>
      <c r="Y21" s="77"/>
      <c r="Z21" s="74">
        <f t="shared" si="11"/>
        <v>21007.406603125</v>
      </c>
    </row>
    <row r="22" spans="2:28" ht="12.45">
      <c r="B22" s="33">
        <v>6</v>
      </c>
      <c r="C22" s="34">
        <f t="shared" si="0"/>
        <v>2030</v>
      </c>
      <c r="D22" s="35">
        <f t="shared" si="1"/>
        <v>0.36037197416448002</v>
      </c>
      <c r="E22" s="36">
        <f t="shared" si="2"/>
        <v>0.1340095640625</v>
      </c>
      <c r="F22" s="37"/>
      <c r="G22" s="102">
        <f t="shared" si="3"/>
        <v>2378.2425890625</v>
      </c>
      <c r="H22" s="103"/>
      <c r="I22" s="36">
        <f t="shared" si="4"/>
        <v>14541.9743703125</v>
      </c>
      <c r="K22" s="102">
        <f t="shared" si="5"/>
        <v>1034.3766508650983</v>
      </c>
      <c r="L22" s="103"/>
      <c r="M22" s="36">
        <f t="shared" si="6"/>
        <v>22376.194268746884</v>
      </c>
      <c r="O22" s="38">
        <f>IF($C22=$J$11,#REF!,0)+IF($C22&lt;$J$11,G22,$E$7*$E$11/$T$6*$D22+($J$6-$E$9)+$J$6)</f>
        <v>1611.7094440351136</v>
      </c>
      <c r="P22" s="98">
        <f t="shared" si="8"/>
        <v>26195.356300445445</v>
      </c>
      <c r="Q22" s="99"/>
      <c r="T22" s="102">
        <f>IF($C22=$J$11,O16+W14,0)+IF($C22&lt;$J$11,G22,$E$7*$E$11/$O$6*$D22*(1-$Y$7)-($Y$10*'Degradation der Module'!B9)+$J$6)</f>
        <v>298.30045797580419</v>
      </c>
      <c r="U22" s="106"/>
      <c r="V22" s="36">
        <f t="shared" si="9"/>
        <v>34352.340047810794</v>
      </c>
      <c r="X22" s="76">
        <f t="shared" si="10"/>
        <v>2150.4263301562501</v>
      </c>
      <c r="Y22" s="77"/>
      <c r="Z22" s="74">
        <f t="shared" si="11"/>
        <v>23157.83293328125</v>
      </c>
    </row>
    <row r="23" spans="2:28" ht="12.45">
      <c r="B23" s="33">
        <v>7</v>
      </c>
      <c r="C23" s="34">
        <f t="shared" si="0"/>
        <v>2031</v>
      </c>
      <c r="D23" s="35">
        <f t="shared" si="1"/>
        <v>0.36757941364776953</v>
      </c>
      <c r="E23" s="36">
        <f t="shared" si="2"/>
        <v>0.14071004226562503</v>
      </c>
      <c r="F23" s="37"/>
      <c r="G23" s="102">
        <f t="shared" si="3"/>
        <v>2492.1507185156256</v>
      </c>
      <c r="H23" s="103"/>
      <c r="I23" s="36">
        <f t="shared" si="4"/>
        <v>17034.125088828125</v>
      </c>
      <c r="K23" s="102">
        <f t="shared" si="5"/>
        <v>1052.6641838824003</v>
      </c>
      <c r="L23" s="103"/>
      <c r="M23" s="36">
        <f t="shared" si="6"/>
        <v>23428.858452629283</v>
      </c>
      <c r="O23" s="38">
        <f>IF($C23=$J$11,#REF!,0)+IF($C23&lt;$J$11,G23,$E$7*$E$11/$T$6*$D23+($J$6-$E$9)+$J$6)</f>
        <v>1641.1452329158155</v>
      </c>
      <c r="P23" s="98">
        <f t="shared" si="8"/>
        <v>27836.501533361261</v>
      </c>
      <c r="Q23" s="99"/>
      <c r="T23" s="102">
        <f>IF($C23=$J$11,O17+W15,0)+IF($C23&lt;$J$11,G23,$E$7*$E$11/$O$6*$D23*(1-$Y$7)-($Y$10*'Degradation der Module'!B10)+$J$6)</f>
        <v>310.04050113532014</v>
      </c>
      <c r="U23" s="106"/>
      <c r="V23" s="36">
        <f t="shared" si="9"/>
        <v>34662.380548946116</v>
      </c>
      <c r="X23" s="76">
        <f t="shared" si="10"/>
        <v>2252.9436466640627</v>
      </c>
      <c r="Y23" s="77"/>
      <c r="Z23" s="74">
        <f t="shared" si="11"/>
        <v>25410.776579945312</v>
      </c>
    </row>
    <row r="24" spans="2:28" ht="12.45">
      <c r="B24" s="33">
        <v>8</v>
      </c>
      <c r="C24" s="34">
        <f t="shared" si="0"/>
        <v>2032</v>
      </c>
      <c r="D24" s="35">
        <f t="shared" si="1"/>
        <v>0.37493100192072498</v>
      </c>
      <c r="E24" s="36">
        <f t="shared" si="2"/>
        <v>0.14774554437890627</v>
      </c>
      <c r="F24" s="37"/>
      <c r="G24" s="102">
        <f t="shared" si="3"/>
        <v>2611.7542544414064</v>
      </c>
      <c r="H24" s="103"/>
      <c r="I24" s="36">
        <f t="shared" si="4"/>
        <v>19645.879343269531</v>
      </c>
      <c r="K24" s="102">
        <f t="shared" si="5"/>
        <v>1071.3174675600485</v>
      </c>
      <c r="L24" s="103"/>
      <c r="M24" s="36">
        <f t="shared" si="6"/>
        <v>24500.175920189333</v>
      </c>
      <c r="O24" s="38">
        <f>IF($C24=$J$11,#REF!,0)+IF($C24&lt;$J$11,G24,$E$7*$E$11/$T$6*$D24+($J$6-$E$9)+$J$6)</f>
        <v>1671.1697375741321</v>
      </c>
      <c r="P24" s="98">
        <f t="shared" si="8"/>
        <v>29507.671270935392</v>
      </c>
      <c r="Q24" s="99"/>
      <c r="T24" s="102">
        <f>IF($C24=$J$11,O18+W16,0)+IF($C24&lt;$J$11,G24,$E$7*$E$11/$O$6*$D24*(1-$Y$7)-($Y$10*'Degradation der Module'!B11)+$J$6)</f>
        <v>321.98170715802667</v>
      </c>
      <c r="U24" s="106"/>
      <c r="V24" s="36">
        <f t="shared" si="9"/>
        <v>34984.362256104141</v>
      </c>
      <c r="X24" s="76">
        <f t="shared" si="10"/>
        <v>2360.5868289972659</v>
      </c>
      <c r="Y24" s="77"/>
      <c r="Z24" s="74">
        <f t="shared" si="11"/>
        <v>27771.363408942576</v>
      </c>
    </row>
    <row r="25" spans="2:28" ht="12.45">
      <c r="B25" s="33">
        <v>9</v>
      </c>
      <c r="C25" s="34">
        <f t="shared" si="0"/>
        <v>2033</v>
      </c>
      <c r="D25" s="35">
        <f t="shared" si="1"/>
        <v>0.38242962195913949</v>
      </c>
      <c r="E25" s="36">
        <f t="shared" si="2"/>
        <v>0.15513282159785158</v>
      </c>
      <c r="F25" s="37"/>
      <c r="G25" s="102">
        <f t="shared" si="3"/>
        <v>2737.3379671634766</v>
      </c>
      <c r="H25" s="103"/>
      <c r="I25" s="36">
        <f t="shared" si="4"/>
        <v>22383.217310433007</v>
      </c>
      <c r="K25" s="102">
        <f t="shared" si="5"/>
        <v>1090.3438169112492</v>
      </c>
      <c r="L25" s="103"/>
      <c r="M25" s="36">
        <f t="shared" si="6"/>
        <v>25590.519737100582</v>
      </c>
      <c r="O25" s="38">
        <f>IF($C25=$J$11,#REF!,0)+IF($C25&lt;$J$11,G25,$E$7*$E$11/$T$6*$D25+($J$6-$E$9)+$J$6)</f>
        <v>1701.7947323256146</v>
      </c>
      <c r="P25" s="98">
        <f t="shared" si="8"/>
        <v>31209.466003261008</v>
      </c>
      <c r="Q25" s="99"/>
      <c r="T25" s="102">
        <f>IF($C25=$J$11,O19+W17,0)+IF($C25&lt;$J$11,G25,$E$7*$E$11/$O$6*$D25*(1-$Y$7)-($Y$10*'Degradation der Module'!B12)+$J$6)</f>
        <v>334.12809930118721</v>
      </c>
      <c r="U25" s="106"/>
      <c r="V25" s="36">
        <f t="shared" si="9"/>
        <v>35318.490355405331</v>
      </c>
      <c r="X25" s="76">
        <f t="shared" si="10"/>
        <v>2473.6121704471288</v>
      </c>
      <c r="Y25" s="77"/>
      <c r="Z25" s="74">
        <f t="shared" si="11"/>
        <v>30244.975579389706</v>
      </c>
    </row>
    <row r="26" spans="2:28" ht="12.45">
      <c r="B26" s="39">
        <v>10</v>
      </c>
      <c r="C26" s="40">
        <f t="shared" si="0"/>
        <v>2034</v>
      </c>
      <c r="D26" s="41">
        <f t="shared" si="1"/>
        <v>0.3900782143983223</v>
      </c>
      <c r="E26" s="42">
        <f t="shared" si="2"/>
        <v>0.16288946267774418</v>
      </c>
      <c r="F26" s="37"/>
      <c r="G26" s="123">
        <f t="shared" si="3"/>
        <v>2869.2008655216509</v>
      </c>
      <c r="H26" s="124"/>
      <c r="I26" s="42">
        <f t="shared" si="4"/>
        <v>25252.418175954659</v>
      </c>
      <c r="K26" s="102">
        <f t="shared" si="5"/>
        <v>1109.7506932494744</v>
      </c>
      <c r="L26" s="103"/>
      <c r="M26" s="43">
        <f t="shared" si="6"/>
        <v>26700.270430350058</v>
      </c>
      <c r="O26" s="38">
        <f>IF($C26=$J$11,#REF!,0)+IF($C26&lt;$J$11,G26,$E$7*$E$11/$T$6*$D26+($J$6-$E$9)+$J$6)</f>
        <v>1733.0322269721271</v>
      </c>
      <c r="P26" s="128">
        <f t="shared" si="8"/>
        <v>32942.498230233134</v>
      </c>
      <c r="Q26" s="129"/>
      <c r="T26" s="102">
        <f>IF($C26=$J$11,O20+W18,0)+IF($C26&lt;$J$11,G26,$E$7*$E$11/$O$6*$D26*(1-$Y$7)-($Y$10*'Degradation der Module'!B13)+$J$6)</f>
        <v>346.48378128721095</v>
      </c>
      <c r="U26" s="106"/>
      <c r="V26" s="43">
        <f t="shared" si="9"/>
        <v>35664.974136692545</v>
      </c>
      <c r="X26" s="76">
        <f t="shared" si="10"/>
        <v>2592.288778969486</v>
      </c>
      <c r="Y26" s="77"/>
      <c r="Z26" s="74">
        <f t="shared" si="11"/>
        <v>32837.264358359193</v>
      </c>
    </row>
    <row r="27" spans="2:28" ht="12.45">
      <c r="B27" s="33">
        <v>11</v>
      </c>
      <c r="C27" s="34">
        <f t="shared" si="0"/>
        <v>2035</v>
      </c>
      <c r="D27" s="35">
        <f t="shared" si="1"/>
        <v>0.39787977868628865</v>
      </c>
      <c r="E27" s="36">
        <f t="shared" si="2"/>
        <v>0.1710339358116314</v>
      </c>
      <c r="F27" s="37"/>
      <c r="G27" s="102">
        <f t="shared" si="3"/>
        <v>3007.6569087977336</v>
      </c>
      <c r="H27" s="103"/>
      <c r="I27" s="36">
        <f t="shared" si="4"/>
        <v>28260.075084752392</v>
      </c>
      <c r="K27" s="102">
        <f t="shared" si="5"/>
        <v>1129.5457071144638</v>
      </c>
      <c r="L27" s="103"/>
      <c r="M27" s="44">
        <f t="shared" si="6"/>
        <v>27829.816137464521</v>
      </c>
      <c r="O27" s="38">
        <f>IF($C27=$J$11,#REF!,0)+IF($C27&lt;$J$11,G27,$E$7*$E$11/$T$6*$D27+($J$6-$E$9)+$J$6)</f>
        <v>1764.8944715115692</v>
      </c>
      <c r="P27" s="130">
        <f t="shared" si="8"/>
        <v>34707.392701744706</v>
      </c>
      <c r="Q27" s="97"/>
      <c r="T27" s="102">
        <f>IF($C27=$J$11,O21+W19,0)+IF($C27&lt;$J$11,G27,$E$7*$E$11/$O$6*$D27*(1-$Y$7)-($Y$10*'Degradation der Module'!B14)+$J$6)</f>
        <v>359.05293891295514</v>
      </c>
      <c r="U27" s="106"/>
      <c r="V27" s="44">
        <f t="shared" si="9"/>
        <v>36024.027075605496</v>
      </c>
      <c r="X27" s="76">
        <f t="shared" si="10"/>
        <v>2716.8992179179604</v>
      </c>
      <c r="Y27" s="77"/>
      <c r="Z27" s="74">
        <f t="shared" si="11"/>
        <v>35554.163576277155</v>
      </c>
    </row>
    <row r="28" spans="2:28" ht="12.45">
      <c r="B28" s="33">
        <v>12</v>
      </c>
      <c r="C28" s="34">
        <f t="shared" si="0"/>
        <v>2036</v>
      </c>
      <c r="D28" s="35">
        <f t="shared" si="1"/>
        <v>0.40583737426001448</v>
      </c>
      <c r="E28" s="36">
        <f t="shared" si="2"/>
        <v>0.17958563260221294</v>
      </c>
      <c r="F28" s="37"/>
      <c r="G28" s="102">
        <f t="shared" si="3"/>
        <v>3153.03575423762</v>
      </c>
      <c r="H28" s="103"/>
      <c r="I28" s="36">
        <f t="shared" si="4"/>
        <v>31413.110838990011</v>
      </c>
      <c r="K28" s="102">
        <f t="shared" si="5"/>
        <v>1149.7366212567531</v>
      </c>
      <c r="L28" s="103"/>
      <c r="M28" s="36">
        <f t="shared" si="6"/>
        <v>28979.552758721275</v>
      </c>
      <c r="O28" s="38">
        <f>IF($C28=$J$11,#REF!,0)+IF($C28&lt;$J$11,G28,$E$7*$E$11/$T$6*$D28+($J$6-$E$9)+$J$6)</f>
        <v>1797.3939609418007</v>
      </c>
      <c r="P28" s="98">
        <f t="shared" si="8"/>
        <v>36504.786662686507</v>
      </c>
      <c r="Q28" s="99"/>
      <c r="T28" s="102">
        <f>IF($C28=$J$11,O22+W20,0)+IF($C28&lt;$J$11,G28,$E$7*$E$11/$O$6*$D28*(1-$Y$7)-($Y$10*'Degradation der Module'!B15)+$J$6)</f>
        <v>371.8398416912143</v>
      </c>
      <c r="U28" s="106"/>
      <c r="V28" s="36">
        <f t="shared" si="9"/>
        <v>36395.866917296713</v>
      </c>
      <c r="X28" s="76">
        <f t="shared" si="10"/>
        <v>2847.7401788138577</v>
      </c>
      <c r="Y28" s="77"/>
      <c r="Z28" s="74">
        <f t="shared" si="11"/>
        <v>38401.903755091014</v>
      </c>
    </row>
    <row r="29" spans="2:28" ht="12.45">
      <c r="B29" s="33">
        <v>13</v>
      </c>
      <c r="C29" s="34">
        <f t="shared" si="0"/>
        <v>2037</v>
      </c>
      <c r="D29" s="35">
        <f t="shared" si="1"/>
        <v>0.41395412174521473</v>
      </c>
      <c r="E29" s="36">
        <f t="shared" si="2"/>
        <v>0.1885649142323236</v>
      </c>
      <c r="F29" s="37"/>
      <c r="G29" s="102">
        <f t="shared" si="3"/>
        <v>3305.6835419495014</v>
      </c>
      <c r="H29" s="103"/>
      <c r="I29" s="36">
        <f t="shared" si="4"/>
        <v>34718.794380939515</v>
      </c>
      <c r="K29" s="102">
        <f t="shared" si="5"/>
        <v>1170.331353681888</v>
      </c>
      <c r="L29" s="103"/>
      <c r="M29" s="36">
        <f t="shared" si="6"/>
        <v>30149.884112403164</v>
      </c>
      <c r="O29" s="38">
        <f>IF($C29=$J$11,#REF!,0)+IF($C29&lt;$J$11,G29,$E$7*$E$11/$T$6*$D29+($J$6-$E$9)+$J$6)</f>
        <v>1830.5434401606367</v>
      </c>
      <c r="P29" s="98">
        <f t="shared" si="8"/>
        <v>38335.330102847147</v>
      </c>
      <c r="Q29" s="99"/>
      <c r="T29" s="102">
        <f>IF($C29=$J$11,O23+W21,0)+IF($C29&lt;$J$11,G29,$E$7*$E$11/$O$6*$D29*(1-$Y$7)-($Y$10*'Degradation der Module'!B16)+$J$6)</f>
        <v>384.84884452503843</v>
      </c>
      <c r="U29" s="106"/>
      <c r="V29" s="36">
        <f t="shared" si="9"/>
        <v>36780.715761821753</v>
      </c>
      <c r="X29" s="76">
        <f t="shared" si="10"/>
        <v>2985.1231877545511</v>
      </c>
      <c r="Y29" s="77"/>
      <c r="Z29" s="74">
        <f t="shared" si="11"/>
        <v>41387.026942845565</v>
      </c>
    </row>
    <row r="30" spans="2:28" ht="12.45">
      <c r="B30" s="33">
        <v>14</v>
      </c>
      <c r="C30" s="34">
        <f t="shared" si="0"/>
        <v>2038</v>
      </c>
      <c r="D30" s="35">
        <f t="shared" si="1"/>
        <v>0.42223320418011911</v>
      </c>
      <c r="E30" s="36">
        <f t="shared" si="2"/>
        <v>0.19799315994393973</v>
      </c>
      <c r="F30" s="37"/>
      <c r="G30" s="102">
        <f t="shared" si="3"/>
        <v>3465.9637190469753</v>
      </c>
      <c r="H30" s="103"/>
      <c r="I30" s="36">
        <f t="shared" si="4"/>
        <v>38184.758099986488</v>
      </c>
      <c r="K30" s="102">
        <f t="shared" si="5"/>
        <v>1191.3379807555259</v>
      </c>
      <c r="L30" s="103"/>
      <c r="M30" s="36">
        <f t="shared" si="6"/>
        <v>31341.222093158689</v>
      </c>
      <c r="O30" s="38">
        <f>IF($C30=$J$11,#REF!,0)+IF($C30&lt;$J$11,G30,$E$7*$E$11/$T$6*$D30+($J$6-$E$9)+$J$6)</f>
        <v>1864.3559089638497</v>
      </c>
      <c r="P30" s="98">
        <f t="shared" si="8"/>
        <v>40199.686011810998</v>
      </c>
      <c r="Q30" s="99"/>
      <c r="T30" s="102">
        <f>IF($C30=$J$11,O24+W22,0)+IF($C30&lt;$J$11,G30,$E$7*$E$11/$O$6*$D30*(1-$Y$7)-($Y$10*'Degradation der Module'!B17)+$J$6)</f>
        <v>398.08438941553931</v>
      </c>
      <c r="U30" s="106"/>
      <c r="V30" s="36">
        <f t="shared" si="9"/>
        <v>37178.800151237294</v>
      </c>
      <c r="X30" s="76">
        <f t="shared" si="10"/>
        <v>3129.3753471422779</v>
      </c>
      <c r="Y30" s="77"/>
      <c r="Z30" s="74">
        <f t="shared" si="11"/>
        <v>44516.40228998784</v>
      </c>
    </row>
    <row r="31" spans="2:28" ht="12.45">
      <c r="B31" s="33">
        <v>15</v>
      </c>
      <c r="C31" s="34">
        <f t="shared" si="0"/>
        <v>2039</v>
      </c>
      <c r="D31" s="35">
        <f t="shared" si="1"/>
        <v>0.43067786826372134</v>
      </c>
      <c r="E31" s="36">
        <f t="shared" si="2"/>
        <v>0.20789281794113679</v>
      </c>
      <c r="F31" s="37"/>
      <c r="G31" s="102">
        <f t="shared" si="3"/>
        <v>3634.2579049993251</v>
      </c>
      <c r="H31" s="103"/>
      <c r="I31" s="36">
        <f t="shared" si="4"/>
        <v>41819.01600498581</v>
      </c>
      <c r="K31" s="102">
        <f t="shared" si="5"/>
        <v>1212.764740370636</v>
      </c>
      <c r="L31" s="103"/>
      <c r="M31" s="36">
        <f t="shared" si="6"/>
        <v>32553.986833529325</v>
      </c>
      <c r="O31" s="38">
        <f>IF($C31=$J$11,#REF!,0)+IF($C31&lt;$J$11,G31,$E$7*$E$11/$T$6*$D31+($J$6-$E$9)+$J$6)</f>
        <v>1898.8446271431262</v>
      </c>
      <c r="P31" s="98">
        <f t="shared" si="8"/>
        <v>42098.530638954122</v>
      </c>
      <c r="Q31" s="99"/>
      <c r="T31" s="102">
        <f>IF($C31=$J$11,O25+W23,0)+IF($C31&lt;$J$11,G31,$E$7*$E$11/$O$6*$D31*(1-$Y$7)-($Y$10*'Degradation der Module'!B18)+$J$6)</f>
        <v>411.55100720384991</v>
      </c>
      <c r="U31" s="106"/>
      <c r="V31" s="36">
        <f t="shared" si="9"/>
        <v>37590.351158441146</v>
      </c>
      <c r="X31" s="76">
        <f t="shared" si="10"/>
        <v>3280.8401144993927</v>
      </c>
      <c r="Y31" s="77"/>
      <c r="Z31" s="74">
        <f t="shared" si="11"/>
        <v>47797.242404487231</v>
      </c>
    </row>
    <row r="32" spans="2:28" ht="12.45">
      <c r="B32" s="33">
        <v>16</v>
      </c>
      <c r="C32" s="34">
        <f t="shared" si="0"/>
        <v>2040</v>
      </c>
      <c r="D32" s="35">
        <f t="shared" si="1"/>
        <v>0.43929142562899587</v>
      </c>
      <c r="E32" s="36">
        <f t="shared" si="2"/>
        <v>0.21828745883819362</v>
      </c>
      <c r="F32" s="37"/>
      <c r="G32" s="102">
        <f t="shared" si="3"/>
        <v>3810.9668002492913</v>
      </c>
      <c r="H32" s="103"/>
      <c r="I32" s="36">
        <f t="shared" si="4"/>
        <v>45629.9828052351</v>
      </c>
      <c r="K32" s="102">
        <f t="shared" si="5"/>
        <v>1234.620035178049</v>
      </c>
      <c r="L32" s="103"/>
      <c r="M32" s="36">
        <f t="shared" si="6"/>
        <v>33788.606868707371</v>
      </c>
      <c r="O32" s="38">
        <f>IF($C32=$J$11,#REF!,0)+IF($C32&lt;$J$11,G32,$E$7*$E$11/$T$6*$D32+($J$6-$E$9)+$J$6)</f>
        <v>1934.0231196859891</v>
      </c>
      <c r="P32" s="98">
        <f t="shared" si="8"/>
        <v>44032.553758640111</v>
      </c>
      <c r="Q32" s="99"/>
      <c r="T32" s="102">
        <f>IF($C32=$J$11,O26+W24,0)+IF($C32&lt;$J$11,G32,$E$7*$E$11/$O$6*$D32*(1-$Y$7)-($Y$10*'Degradation der Module'!B19)+$J$6)</f>
        <v>425.253319347927</v>
      </c>
      <c r="U32" s="106"/>
      <c r="V32" s="36">
        <f t="shared" si="9"/>
        <v>38015.604477789071</v>
      </c>
      <c r="X32" s="76">
        <f t="shared" si="10"/>
        <v>3439.8781202243622</v>
      </c>
      <c r="Y32" s="77"/>
      <c r="Z32" s="74">
        <f t="shared" si="11"/>
        <v>51237.120524711594</v>
      </c>
    </row>
    <row r="33" spans="1:26" ht="12.45">
      <c r="B33" s="33">
        <v>17</v>
      </c>
      <c r="C33" s="34">
        <f t="shared" si="0"/>
        <v>2041</v>
      </c>
      <c r="D33" s="35">
        <f t="shared" si="1"/>
        <v>0.44807725414157584</v>
      </c>
      <c r="E33" s="36">
        <f t="shared" si="2"/>
        <v>0.22920183178010334</v>
      </c>
      <c r="F33" s="37"/>
      <c r="G33" s="102">
        <f t="shared" si="3"/>
        <v>3996.5111402617567</v>
      </c>
      <c r="H33" s="103"/>
      <c r="I33" s="36">
        <f t="shared" si="4"/>
        <v>49626.493945496855</v>
      </c>
      <c r="K33" s="102">
        <f t="shared" si="5"/>
        <v>1256.9124358816102</v>
      </c>
      <c r="L33" s="103"/>
      <c r="M33" s="36">
        <f t="shared" si="6"/>
        <v>35045.519304588983</v>
      </c>
      <c r="O33" s="38">
        <f>IF($C33=$J$11,#REF!,0)+IF($C33&lt;$J$11,G33,$E$7*$E$11/$T$6*$D33+($J$6-$E$9)+$J$6)</f>
        <v>1969.905182079709</v>
      </c>
      <c r="P33" s="98">
        <f t="shared" si="8"/>
        <v>46002.458940719822</v>
      </c>
      <c r="Q33" s="99"/>
      <c r="T33" s="102">
        <f>IF($C33=$J$11,O27+W25,0)+IF($C33&lt;$J$11,G33,$E$7*$E$11/$O$6*$D33*(1-$Y$7)-($Y$10*'Degradation der Module'!B20)+$J$6)</f>
        <v>439.19603973488569</v>
      </c>
      <c r="U33" s="106"/>
      <c r="V33" s="36">
        <f t="shared" si="9"/>
        <v>38454.80051752396</v>
      </c>
      <c r="X33" s="76">
        <f t="shared" si="10"/>
        <v>3606.8680262355811</v>
      </c>
      <c r="Y33" s="77"/>
      <c r="Z33" s="74">
        <f t="shared" si="11"/>
        <v>54843.988550947179</v>
      </c>
    </row>
    <row r="34" spans="1:26" ht="12.45">
      <c r="B34" s="33">
        <v>18</v>
      </c>
      <c r="C34" s="34">
        <f t="shared" si="0"/>
        <v>2042</v>
      </c>
      <c r="D34" s="35">
        <f t="shared" si="1"/>
        <v>0.45703879922440727</v>
      </c>
      <c r="E34" s="36">
        <f t="shared" si="2"/>
        <v>0.24066192336910849</v>
      </c>
      <c r="F34" s="37"/>
      <c r="G34" s="102">
        <f t="shared" si="3"/>
        <v>4191.3326972748446</v>
      </c>
      <c r="H34" s="103"/>
      <c r="I34" s="36">
        <f t="shared" si="4"/>
        <v>53817.826642771703</v>
      </c>
      <c r="K34" s="102">
        <f t="shared" si="5"/>
        <v>1279.6506845992421</v>
      </c>
      <c r="L34" s="103"/>
      <c r="M34" s="36">
        <f t="shared" si="6"/>
        <v>36325.169989188224</v>
      </c>
      <c r="O34" s="38">
        <f>IF($C34=$J$11,#REF!,0)+IF($C34&lt;$J$11,G34,$E$7*$E$11/$T$6*$D34+($J$6-$E$9)+$J$6)</f>
        <v>2006.5048857213028</v>
      </c>
      <c r="P34" s="98">
        <f t="shared" si="8"/>
        <v>48008.963826441126</v>
      </c>
      <c r="Q34" s="99"/>
      <c r="T34" s="102">
        <f>IF($C34=$J$11,O28+W26,0)+IF($C34&lt;$J$11,G34,$E$7*$E$11/$O$6*$D34*(1-$Y$7)-($Y$10*'Degradation der Module'!B21)+$J$6)</f>
        <v>453.38397652958332</v>
      </c>
      <c r="U34" s="106"/>
      <c r="V34" s="36">
        <f t="shared" si="9"/>
        <v>38908.184494053545</v>
      </c>
      <c r="X34" s="76">
        <f t="shared" si="10"/>
        <v>3782.2074275473597</v>
      </c>
      <c r="Y34" s="77"/>
      <c r="Z34" s="74">
        <f t="shared" si="11"/>
        <v>58626.195978494536</v>
      </c>
    </row>
    <row r="35" spans="1:26" ht="12.45">
      <c r="B35" s="33">
        <v>19</v>
      </c>
      <c r="C35" s="34">
        <f t="shared" si="0"/>
        <v>2043</v>
      </c>
      <c r="D35" s="35">
        <f t="shared" si="1"/>
        <v>0.46617957520889541</v>
      </c>
      <c r="E35" s="36">
        <f t="shared" si="2"/>
        <v>0.2526950195375639</v>
      </c>
      <c r="F35" s="37"/>
      <c r="G35" s="102">
        <f t="shared" si="3"/>
        <v>4395.8953321385861</v>
      </c>
      <c r="H35" s="103"/>
      <c r="I35" s="36">
        <f t="shared" si="4"/>
        <v>58213.721974910288</v>
      </c>
      <c r="K35" s="102">
        <f t="shared" si="5"/>
        <v>1302.8436982912269</v>
      </c>
      <c r="L35" s="103"/>
      <c r="M35" s="36">
        <f t="shared" si="6"/>
        <v>37628.013687479448</v>
      </c>
      <c r="O35" s="38">
        <f>IF($C35=$J$11,#REF!,0)+IF($C35&lt;$J$11,G35,$E$7*$E$11/$T$6*$D35+($J$6-$E$9)+$J$6)</f>
        <v>2043.8365834357289</v>
      </c>
      <c r="P35" s="98">
        <f t="shared" si="8"/>
        <v>50052.800409876858</v>
      </c>
      <c r="Q35" s="99"/>
      <c r="T35" s="102">
        <f>IF($C35=$J$11,O29+W27,0)+IF($C35&lt;$J$11,G35,$E$7*$E$11/$O$6*$D35*(1-$Y$7)-($Y$10*'Degradation der Module'!B22)+$J$6)</f>
        <v>467.82203406017493</v>
      </c>
      <c r="U35" s="106"/>
      <c r="V35" s="36">
        <f t="shared" si="9"/>
        <v>39376.006528113721</v>
      </c>
      <c r="X35" s="76">
        <f t="shared" si="10"/>
        <v>3966.3137989247275</v>
      </c>
      <c r="Y35" s="77"/>
      <c r="Z35" s="74">
        <f t="shared" si="11"/>
        <v>62592.509777419262</v>
      </c>
    </row>
    <row r="36" spans="1:26" ht="12.45">
      <c r="A36" s="45"/>
      <c r="B36" s="39">
        <v>20</v>
      </c>
      <c r="C36" s="40">
        <f t="shared" si="0"/>
        <v>2044</v>
      </c>
      <c r="D36" s="41">
        <f t="shared" si="1"/>
        <v>0.47550316671307336</v>
      </c>
      <c r="E36" s="42">
        <f t="shared" si="2"/>
        <v>0.26532977051444212</v>
      </c>
      <c r="F36" s="37"/>
      <c r="G36" s="123">
        <f t="shared" si="3"/>
        <v>4610.6860987455157</v>
      </c>
      <c r="H36" s="124"/>
      <c r="I36" s="42">
        <f t="shared" si="4"/>
        <v>62824.408073655803</v>
      </c>
      <c r="K36" s="102">
        <f t="shared" si="5"/>
        <v>1326.5005722570515</v>
      </c>
      <c r="L36" s="103"/>
      <c r="M36" s="43">
        <f t="shared" si="6"/>
        <v>38954.514259736497</v>
      </c>
      <c r="O36" s="38">
        <f>IF($C36=$J$11,#REF!,0)+IF($C36&lt;$J$11,G36,$E$7*$E$11/$T$6*$D36+($J$6-$E$9)+$J$6)</f>
        <v>2081.9149151044439</v>
      </c>
      <c r="P36" s="128">
        <f t="shared" si="8"/>
        <v>52134.715324981298</v>
      </c>
      <c r="Q36" s="129"/>
      <c r="T36" s="102">
        <f>IF($C36=$J$11,O30+W28,0)+IF($C36&lt;$J$11,G36,$E$7*$E$11/$O$6*$D36*(1-$Y$7)-($Y$10*'Degradation der Module'!B23)+$J$6)</f>
        <v>482.51521474137843</v>
      </c>
      <c r="U36" s="106"/>
      <c r="V36" s="43">
        <f t="shared" si="9"/>
        <v>39858.521742855097</v>
      </c>
      <c r="X36" s="76">
        <f t="shared" si="10"/>
        <v>4159.6254888709645</v>
      </c>
      <c r="Y36" s="77"/>
      <c r="Z36" s="74">
        <f t="shared" si="11"/>
        <v>66752.135266290221</v>
      </c>
    </row>
    <row r="37" spans="1:26" ht="12.45">
      <c r="B37" s="33">
        <v>21</v>
      </c>
      <c r="C37" s="34">
        <f t="shared" si="0"/>
        <v>2045</v>
      </c>
      <c r="D37" s="35">
        <f t="shared" si="1"/>
        <v>0.48501323004733482</v>
      </c>
      <c r="E37" s="36">
        <f t="shared" si="2"/>
        <v>0.27859625904016422</v>
      </c>
      <c r="F37" s="37"/>
      <c r="G37" s="102">
        <f t="shared" si="3"/>
        <v>4836.2164036827917</v>
      </c>
      <c r="H37" s="103"/>
      <c r="I37" s="36">
        <f t="shared" si="4"/>
        <v>67660.624477338599</v>
      </c>
      <c r="K37" s="102">
        <f t="shared" si="5"/>
        <v>1350.6305837021926</v>
      </c>
      <c r="L37" s="103"/>
      <c r="M37" s="44">
        <f t="shared" si="6"/>
        <v>40305.144843438691</v>
      </c>
      <c r="O37" s="38">
        <f>IF($C37=$J$11,#REF!,0)+IF($C37&lt;$J$11,G37,$E$7*$E$11/$T$6*$D37+($J$6-$E$9)+$J$6)</f>
        <v>2120.7548134065328</v>
      </c>
      <c r="P37" s="130">
        <f t="shared" si="8"/>
        <v>54255.470138387827</v>
      </c>
      <c r="Q37" s="97"/>
      <c r="T37" s="102">
        <f>IF($C37=$J$11,O31+W29,0)+IF($C37&lt;$J$11,G37,$E$7*$E$11/$O$6*$D37*(1-$Y$7)-($Y$10*'Degradation der Module'!B24)+$J$6)</f>
        <v>497.468621036206</v>
      </c>
      <c r="U37" s="106"/>
      <c r="V37" s="44">
        <f t="shared" si="9"/>
        <v>40355.990363891302</v>
      </c>
      <c r="X37" s="76">
        <f t="shared" si="10"/>
        <v>4362.6027633145122</v>
      </c>
      <c r="Y37" s="77"/>
      <c r="Z37" s="74">
        <f t="shared" si="11"/>
        <v>71114.738029604734</v>
      </c>
    </row>
    <row r="38" spans="1:26" ht="12.45">
      <c r="B38" s="33">
        <v>22</v>
      </c>
      <c r="C38" s="34">
        <f t="shared" si="0"/>
        <v>2046</v>
      </c>
      <c r="D38" s="35">
        <f t="shared" si="1"/>
        <v>0.49471349464828152</v>
      </c>
      <c r="E38" s="36">
        <f t="shared" si="2"/>
        <v>0.2925260719921724</v>
      </c>
      <c r="F38" s="37"/>
      <c r="G38" s="102">
        <f t="shared" si="3"/>
        <v>5073.0232238669305</v>
      </c>
      <c r="H38" s="103"/>
      <c r="I38" s="36">
        <f t="shared" si="4"/>
        <v>72733.647701205526</v>
      </c>
      <c r="K38" s="102">
        <f t="shared" si="5"/>
        <v>1375.2431953762366</v>
      </c>
      <c r="L38" s="103"/>
      <c r="M38" s="36">
        <f t="shared" si="6"/>
        <v>41680.388038814926</v>
      </c>
      <c r="O38" s="38">
        <f>IF($C38=$J$11,#REF!,0)+IF($C38&lt;$J$11,G38,$E$7*$E$11/$T$6*$D38+($J$6-$E$9)+$J$6)</f>
        <v>2160.3715096746632</v>
      </c>
      <c r="P38" s="98">
        <f t="shared" si="8"/>
        <v>56415.841648062487</v>
      </c>
      <c r="Q38" s="99"/>
      <c r="T38" s="102">
        <f>IF($C38=$J$11,O32+W30,0)+IF($C38&lt;$J$11,G38,$E$7*$E$11/$O$6*$D38*(1-$Y$7)-($Y$10*'Degradation der Module'!B25)+$J$6)</f>
        <v>512.68745745693025</v>
      </c>
      <c r="U38" s="106"/>
      <c r="V38" s="36">
        <f t="shared" si="9"/>
        <v>40868.677821348232</v>
      </c>
      <c r="X38" s="76">
        <f t="shared" si="10"/>
        <v>4575.7289014802373</v>
      </c>
      <c r="Y38" s="77"/>
      <c r="Z38" s="74">
        <f t="shared" si="11"/>
        <v>75690.466931084971</v>
      </c>
    </row>
    <row r="39" spans="1:26" ht="12.45">
      <c r="B39" s="33">
        <v>23</v>
      </c>
      <c r="C39" s="34">
        <f t="shared" si="0"/>
        <v>2047</v>
      </c>
      <c r="D39" s="35">
        <f t="shared" si="1"/>
        <v>0.50460776454124701</v>
      </c>
      <c r="E39" s="36">
        <f t="shared" si="2"/>
        <v>0.3071523755917811</v>
      </c>
      <c r="F39" s="37"/>
      <c r="G39" s="102">
        <f t="shared" si="3"/>
        <v>5321.6703850602789</v>
      </c>
      <c r="H39" s="103"/>
      <c r="I39" s="36">
        <f t="shared" si="4"/>
        <v>78055.318086265805</v>
      </c>
      <c r="K39" s="102">
        <f t="shared" si="5"/>
        <v>1400.3480592837609</v>
      </c>
      <c r="L39" s="103"/>
      <c r="M39" s="36">
        <f t="shared" si="6"/>
        <v>43080.736098098685</v>
      </c>
      <c r="O39" s="38">
        <f>IF($C39=$J$11,#REF!,0)+IF($C39&lt;$J$11,G39,$E$7*$E$11/$T$6*$D39+($J$6-$E$9)+$J$6)</f>
        <v>2200.7805398681558</v>
      </c>
      <c r="P39" s="98">
        <f t="shared" si="8"/>
        <v>58616.622187930639</v>
      </c>
      <c r="Q39" s="99"/>
      <c r="T39" s="102">
        <f>IF($C39=$J$11,O33+W31,0)+IF($C39&lt;$J$11,G39,$E$7*$E$11/$O$6*$D39*(1-$Y$7)-($Y$10*'Degradation der Module'!B26)+$J$6)</f>
        <v>528.17703260606868</v>
      </c>
      <c r="U39" s="106"/>
      <c r="V39" s="36">
        <f t="shared" si="9"/>
        <v>41396.854853954297</v>
      </c>
      <c r="X39" s="76">
        <f t="shared" si="10"/>
        <v>4799.5113465542508</v>
      </c>
      <c r="Y39" s="77"/>
      <c r="Z39" s="74">
        <f t="shared" si="11"/>
        <v>80489.978277639224</v>
      </c>
    </row>
    <row r="40" spans="1:26" ht="12.45">
      <c r="B40" s="33">
        <v>24</v>
      </c>
      <c r="C40" s="34">
        <f t="shared" si="0"/>
        <v>2048</v>
      </c>
      <c r="D40" s="35">
        <f t="shared" si="1"/>
        <v>0.51469991983207197</v>
      </c>
      <c r="E40" s="36">
        <f t="shared" si="2"/>
        <v>0.32250999437137007</v>
      </c>
      <c r="F40" s="37"/>
      <c r="G40" s="102">
        <f t="shared" si="3"/>
        <v>5582.7499043132912</v>
      </c>
      <c r="H40" s="103"/>
      <c r="I40" s="36">
        <f t="shared" si="4"/>
        <v>83638.067990579089</v>
      </c>
      <c r="K40" s="102">
        <f t="shared" si="5"/>
        <v>1425.9550204694362</v>
      </c>
      <c r="L40" s="103"/>
      <c r="M40" s="36">
        <f t="shared" si="6"/>
        <v>44506.691118568124</v>
      </c>
      <c r="O40" s="38">
        <f>IF($C40=$J$11,#REF!,0)+IF($C40&lt;$J$11,G40,$E$7*$E$11/$T$6*$D40+($J$6-$E$9)+$J$6)</f>
        <v>2241.9977506655191</v>
      </c>
      <c r="P40" s="98">
        <f t="shared" si="8"/>
        <v>60858.619938596159</v>
      </c>
      <c r="Q40" s="99"/>
      <c r="T40" s="102">
        <f>IF($C40=$J$11,O34+W32,0)+IF($C40&lt;$J$11,G40,$E$7*$E$11/$O$6*$D40*(1-$Y$7)-($Y$10*'Degradation der Module'!B27)+$J$6)</f>
        <v>543.94276125818999</v>
      </c>
      <c r="U40" s="106"/>
      <c r="V40" s="36">
        <f t="shared" si="9"/>
        <v>41940.79761521249</v>
      </c>
      <c r="X40" s="76">
        <f t="shared" si="10"/>
        <v>5034.4829138819623</v>
      </c>
      <c r="Y40" s="77"/>
      <c r="Z40" s="74">
        <f t="shared" si="11"/>
        <v>85524.461191521186</v>
      </c>
    </row>
    <row r="41" spans="1:26" ht="12.45">
      <c r="B41" s="33">
        <v>25</v>
      </c>
      <c r="C41" s="34">
        <f t="shared" si="0"/>
        <v>2049</v>
      </c>
      <c r="D41" s="35">
        <f t="shared" si="1"/>
        <v>0.52499391822871344</v>
      </c>
      <c r="E41" s="36">
        <f t="shared" si="2"/>
        <v>0.33863549408993859</v>
      </c>
      <c r="F41" s="37"/>
      <c r="G41" s="102">
        <f t="shared" si="3"/>
        <v>5856.883399528956</v>
      </c>
      <c r="H41" s="103"/>
      <c r="I41" s="36">
        <f t="shared" si="4"/>
        <v>89494.95139010805</v>
      </c>
      <c r="K41" s="102">
        <f t="shared" si="5"/>
        <v>1452.0741208788249</v>
      </c>
      <c r="L41" s="103"/>
      <c r="M41" s="36">
        <f t="shared" si="6"/>
        <v>45958.765239446948</v>
      </c>
      <c r="O41" s="38">
        <f>IF($C41=$J$11,#REF!,0)+IF($C41&lt;$J$11,G41,$E$7*$E$11/$T$6*$D41+($J$6-$E$9)+$J$6)</f>
        <v>2284.0393056788294</v>
      </c>
      <c r="P41" s="98">
        <f t="shared" si="8"/>
        <v>63142.65924427499</v>
      </c>
      <c r="Q41" s="99"/>
      <c r="T41" s="102">
        <f>IF($C41=$J$11,O35+W33,0)+IF($C41&lt;$J$11,G41,$E$7*$E$11/$O$6*$D41*(1-$Y$7)-($Y$10*'Degradation der Module'!B28)+$J$6)</f>
        <v>559.99016648335385</v>
      </c>
      <c r="U41" s="106"/>
      <c r="V41" s="36">
        <f t="shared" si="9"/>
        <v>42500.787781695843</v>
      </c>
      <c r="X41" s="76">
        <f t="shared" si="10"/>
        <v>5281.2030595760607</v>
      </c>
      <c r="Y41" s="77"/>
      <c r="Z41" s="74">
        <f t="shared" si="11"/>
        <v>90805.664251097245</v>
      </c>
    </row>
    <row r="42" spans="1:26" ht="12.45">
      <c r="B42" s="33">
        <v>26</v>
      </c>
      <c r="C42" s="34">
        <f t="shared" si="0"/>
        <v>2050</v>
      </c>
      <c r="D42" s="35">
        <f t="shared" si="1"/>
        <v>0.53549379659328777</v>
      </c>
      <c r="E42" s="36">
        <f t="shared" si="2"/>
        <v>0.35556726879443556</v>
      </c>
      <c r="F42" s="37"/>
      <c r="G42" s="102">
        <f t="shared" si="3"/>
        <v>6144.7235695054042</v>
      </c>
      <c r="H42" s="103"/>
      <c r="I42" s="36">
        <f t="shared" si="4"/>
        <v>95639.674959613447</v>
      </c>
      <c r="K42" s="102">
        <f t="shared" si="5"/>
        <v>1478.7156032964017</v>
      </c>
      <c r="L42" s="103"/>
      <c r="M42" s="36">
        <f t="shared" si="6"/>
        <v>47437.480842743353</v>
      </c>
      <c r="O42" s="38">
        <f>IF($C42=$J$11,#REF!,0)+IF($C42&lt;$J$11,G42,$E$7*$E$11/$T$6*$D42+($J$6-$E$9)+$J$6)</f>
        <v>2326.9216917924064</v>
      </c>
      <c r="P42" s="98">
        <f t="shared" si="8"/>
        <v>65469.580936067396</v>
      </c>
      <c r="Q42" s="99"/>
      <c r="T42" s="102">
        <f>IF($C42=$J$11,O36+W34,0)+IF($C42&lt;$J$11,G42,$E$7*$E$11/$O$6*$D42*(1-$Y$7)-($Y$10*'Degradation der Module'!B29)+$J$6)</f>
        <v>576.32488181302097</v>
      </c>
      <c r="U42" s="106"/>
      <c r="V42" s="36">
        <f t="shared" si="9"/>
        <v>43077.112663508866</v>
      </c>
      <c r="X42" s="76">
        <f t="shared" si="10"/>
        <v>5540.2592125548645</v>
      </c>
      <c r="Y42" s="77"/>
      <c r="Z42" s="74">
        <f t="shared" si="11"/>
        <v>96345.923463652114</v>
      </c>
    </row>
    <row r="43" spans="1:26" ht="12.45">
      <c r="B43" s="33">
        <v>27</v>
      </c>
      <c r="C43" s="34">
        <f t="shared" si="0"/>
        <v>2051</v>
      </c>
      <c r="D43" s="35">
        <f t="shared" si="1"/>
        <v>0.54620367252515345</v>
      </c>
      <c r="E43" s="36">
        <f t="shared" si="2"/>
        <v>0.37334563223415734</v>
      </c>
      <c r="F43" s="37"/>
      <c r="G43" s="102">
        <f t="shared" si="3"/>
        <v>6446.9557479806745</v>
      </c>
      <c r="H43" s="103"/>
      <c r="I43" s="36">
        <f t="shared" si="4"/>
        <v>102086.63070759411</v>
      </c>
      <c r="K43" s="102">
        <f t="shared" si="5"/>
        <v>1505.8899153623295</v>
      </c>
      <c r="L43" s="103"/>
      <c r="M43" s="36">
        <f t="shared" si="6"/>
        <v>48943.370758105681</v>
      </c>
      <c r="O43" s="38">
        <f>IF($C43=$J$11,#REF!,0)+IF($C43&lt;$J$11,G43,$E$7*$E$11/$T$6*$D43+($J$6-$E$9)+$J$6)</f>
        <v>2370.6617256282543</v>
      </c>
      <c r="P43" s="98">
        <f t="shared" si="8"/>
        <v>67840.242661695651</v>
      </c>
      <c r="Q43" s="99"/>
      <c r="T43" s="102">
        <f>IF($C43=$J$11,O37+W35,0)+IF($C43&lt;$J$11,G43,$E$7*$E$11/$O$6*$D43*(1-$Y$7)-($Y$10*'Degradation der Module'!B30)+$J$6)</f>
        <v>592.95265344928134</v>
      </c>
      <c r="U43" s="106"/>
      <c r="V43" s="36">
        <f t="shared" si="9"/>
        <v>43670.065316958149</v>
      </c>
      <c r="X43" s="76">
        <f t="shared" si="10"/>
        <v>5812.2681731826069</v>
      </c>
      <c r="Y43" s="77"/>
      <c r="Z43" s="74">
        <f t="shared" si="11"/>
        <v>102158.19163683472</v>
      </c>
    </row>
    <row r="44" spans="1:26" ht="12.45">
      <c r="B44" s="33">
        <v>28</v>
      </c>
      <c r="C44" s="34">
        <f t="shared" si="0"/>
        <v>2052</v>
      </c>
      <c r="D44" s="35">
        <f t="shared" si="1"/>
        <v>0.55712774597565662</v>
      </c>
      <c r="E44" s="36">
        <f t="shared" si="2"/>
        <v>0.39201291384586517</v>
      </c>
      <c r="F44" s="37"/>
      <c r="G44" s="102">
        <f t="shared" si="3"/>
        <v>6764.2995353797078</v>
      </c>
      <c r="H44" s="103"/>
      <c r="I44" s="36">
        <f t="shared" si="4"/>
        <v>108850.93024297382</v>
      </c>
      <c r="K44" s="102">
        <f t="shared" si="5"/>
        <v>1533.6077136695762</v>
      </c>
      <c r="L44" s="103"/>
      <c r="M44" s="36">
        <f t="shared" si="6"/>
        <v>50476.978471775255</v>
      </c>
      <c r="O44" s="38">
        <f>IF($C44=$J$11,#REF!,0)+IF($C44&lt;$J$11,G44,$E$7*$E$11/$T$6*$D44+($J$6-$E$9)+$J$6)</f>
        <v>2415.2765601408196</v>
      </c>
      <c r="P44" s="98">
        <f t="shared" si="8"/>
        <v>70255.519221836468</v>
      </c>
      <c r="Q44" s="99"/>
      <c r="T44" s="102">
        <f>IF($C44=$J$11,O38+W36,0)+IF($C44&lt;$J$11,G44,$E$7*$E$11/$O$6*$D44*(1-$Y$7)-($Y$10*'Degradation der Module'!B31)+$J$6)</f>
        <v>609.87934251826709</v>
      </c>
      <c r="U44" s="106"/>
      <c r="V44" s="36">
        <f t="shared" si="9"/>
        <v>44279.944659476416</v>
      </c>
      <c r="X44" s="76">
        <f t="shared" si="10"/>
        <v>6097.8775818417371</v>
      </c>
      <c r="Y44" s="77"/>
      <c r="Z44" s="74">
        <f t="shared" si="11"/>
        <v>108256.06921867645</v>
      </c>
    </row>
    <row r="45" spans="1:26" ht="12.45">
      <c r="B45" s="33">
        <v>29</v>
      </c>
      <c r="C45" s="34">
        <f t="shared" si="0"/>
        <v>2053</v>
      </c>
      <c r="D45" s="35">
        <f t="shared" si="1"/>
        <v>0.56827030089516972</v>
      </c>
      <c r="E45" s="36">
        <f t="shared" si="2"/>
        <v>0.41161355953815848</v>
      </c>
      <c r="F45" s="37"/>
      <c r="G45" s="102">
        <f t="shared" si="3"/>
        <v>7097.510512148694</v>
      </c>
      <c r="H45" s="103"/>
      <c r="I45" s="36">
        <f t="shared" si="4"/>
        <v>115948.44075512252</v>
      </c>
      <c r="K45" s="102">
        <f t="shared" si="5"/>
        <v>1561.8798679429678</v>
      </c>
      <c r="L45" s="103"/>
      <c r="M45" s="36">
        <f t="shared" si="6"/>
        <v>52038.858339718223</v>
      </c>
      <c r="O45" s="38">
        <f>IF($C45=$J$11,#REF!,0)+IF($C45&lt;$J$11,G45,$E$7*$E$11/$T$6*$D45+($J$6-$E$9)+$J$6)</f>
        <v>2460.7836913436358</v>
      </c>
      <c r="P45" s="98">
        <f t="shared" si="8"/>
        <v>72716.302913180101</v>
      </c>
      <c r="Q45" s="99"/>
      <c r="T45" s="102">
        <f>IF($C45=$J$11,O39+W37,0)+IF($C45&lt;$J$11,G45,$E$7*$E$11/$O$6*$D45*(1-$Y$7)-($Y$10*'Degradation der Module'!B32)+$J$6)</f>
        <v>627.11092736863247</v>
      </c>
      <c r="U45" s="106"/>
      <c r="V45" s="36">
        <f t="shared" si="9"/>
        <v>44907.055586845046</v>
      </c>
      <c r="X45" s="76">
        <f t="shared" si="10"/>
        <v>6397.7674609338246</v>
      </c>
      <c r="Y45" s="77"/>
      <c r="Z45" s="74">
        <f t="shared" si="11"/>
        <v>114653.83667961028</v>
      </c>
    </row>
    <row r="46" spans="1:26" ht="12.9" thickBot="1">
      <c r="B46" s="46">
        <v>30</v>
      </c>
      <c r="C46" s="47">
        <f t="shared" si="0"/>
        <v>2054</v>
      </c>
      <c r="D46" s="48">
        <f t="shared" si="1"/>
        <v>0.57963570691307309</v>
      </c>
      <c r="E46" s="49">
        <f t="shared" si="2"/>
        <v>0.43219423751506625</v>
      </c>
      <c r="F46" s="37"/>
      <c r="G46" s="123">
        <f t="shared" si="3"/>
        <v>7447.382037756126</v>
      </c>
      <c r="H46" s="124"/>
      <c r="I46" s="49">
        <f t="shared" si="4"/>
        <v>123395.82279287864</v>
      </c>
      <c r="K46" s="102">
        <f t="shared" si="5"/>
        <v>1590.7174653018271</v>
      </c>
      <c r="L46" s="103"/>
      <c r="M46" s="50">
        <f t="shared" si="6"/>
        <v>53629.575805020053</v>
      </c>
      <c r="O46" s="38">
        <f>IF($C46=$J$11,#REF!,0)+IF($C46&lt;$J$11,G46,$E$7*$E$11/$T$6*$D46+($J$6-$E$9)+$J$6)</f>
        <v>2507.2009651705084</v>
      </c>
      <c r="P46" s="125">
        <f t="shared" si="8"/>
        <v>75223.503878350602</v>
      </c>
      <c r="Q46" s="126"/>
      <c r="T46" s="102">
        <f>IF($C46=$J$11,O40+W38,0)+IF($C46&lt;$J$11,G46,$E$7*$E$11/$O$6*$D46*(1-$Y$7)-($Y$10*'Degradation der Module'!B33)+$J$6)</f>
        <v>928.89460591600493</v>
      </c>
      <c r="U46" s="106"/>
      <c r="V46" s="50">
        <f t="shared" si="9"/>
        <v>45835.950192761054</v>
      </c>
      <c r="X46" s="78">
        <f t="shared" si="10"/>
        <v>6712.6518339805134</v>
      </c>
      <c r="Y46" s="79"/>
      <c r="Z46" s="75">
        <f t="shared" si="11"/>
        <v>121366.4885135908</v>
      </c>
    </row>
    <row r="47" spans="1:26" s="57" customFormat="1" ht="15.75" customHeight="1" thickTop="1">
      <c r="C47" s="57" t="s">
        <v>35</v>
      </c>
      <c r="G47" s="127"/>
      <c r="H47" s="127"/>
      <c r="I47" s="58">
        <f>I46-I46</f>
        <v>0</v>
      </c>
      <c r="K47" s="127"/>
      <c r="L47" s="127"/>
      <c r="M47" s="58">
        <f>I46-M46</f>
        <v>69766.246987858583</v>
      </c>
      <c r="Q47" s="58">
        <f>I46-P46</f>
        <v>48172.318914528034</v>
      </c>
      <c r="V47" s="58">
        <f>I46-V46</f>
        <v>77559.872600117582</v>
      </c>
      <c r="Z47" s="58">
        <f>M46-Z46</f>
        <v>-67736.912708570744</v>
      </c>
    </row>
    <row r="48" spans="1:26" ht="15.75" customHeight="1">
      <c r="G48" s="122"/>
      <c r="H48" s="122"/>
    </row>
  </sheetData>
  <mergeCells count="214">
    <mergeCell ref="Q7:S7"/>
    <mergeCell ref="Q8:S8"/>
    <mergeCell ref="Q9:S9"/>
    <mergeCell ref="Q10:S10"/>
    <mergeCell ref="M8:N8"/>
    <mergeCell ref="M9:N9"/>
    <mergeCell ref="M10:N10"/>
    <mergeCell ref="G16:H16"/>
    <mergeCell ref="G17:H17"/>
    <mergeCell ref="K23:L23"/>
    <mergeCell ref="K24:L24"/>
    <mergeCell ref="K20:L20"/>
    <mergeCell ref="P20:Q20"/>
    <mergeCell ref="K21:L21"/>
    <mergeCell ref="P21:Q21"/>
    <mergeCell ref="K22:L22"/>
    <mergeCell ref="P22:Q22"/>
    <mergeCell ref="P23:Q23"/>
    <mergeCell ref="P24:Q24"/>
    <mergeCell ref="E5:F5"/>
    <mergeCell ref="H5:I5"/>
    <mergeCell ref="E6:F6"/>
    <mergeCell ref="H6:I6"/>
    <mergeCell ref="J6:K6"/>
    <mergeCell ref="H7:I7"/>
    <mergeCell ref="M4:O4"/>
    <mergeCell ref="N5:O5"/>
    <mergeCell ref="M6:N6"/>
    <mergeCell ref="M7:N7"/>
    <mergeCell ref="J7:K7"/>
    <mergeCell ref="H4:K4"/>
    <mergeCell ref="E11:F11"/>
    <mergeCell ref="B14:E14"/>
    <mergeCell ref="E7:F7"/>
    <mergeCell ref="E8:F8"/>
    <mergeCell ref="H8:I8"/>
    <mergeCell ref="E10:F10"/>
    <mergeCell ref="H9:I9"/>
    <mergeCell ref="H10:I10"/>
    <mergeCell ref="G14:I14"/>
    <mergeCell ref="G18:H18"/>
    <mergeCell ref="G19:H19"/>
    <mergeCell ref="K27:L27"/>
    <mergeCell ref="K28:L28"/>
    <mergeCell ref="B4:F4"/>
    <mergeCell ref="Q4:T4"/>
    <mergeCell ref="B5:D5"/>
    <mergeCell ref="J5:K5"/>
    <mergeCell ref="R5:T5"/>
    <mergeCell ref="G20:H20"/>
    <mergeCell ref="G21:H21"/>
    <mergeCell ref="G22:H22"/>
    <mergeCell ref="G23:H23"/>
    <mergeCell ref="G24:H24"/>
    <mergeCell ref="K25:L25"/>
    <mergeCell ref="P25:Q25"/>
    <mergeCell ref="G25:H25"/>
    <mergeCell ref="G26:H26"/>
    <mergeCell ref="K26:L26"/>
    <mergeCell ref="P26:Q26"/>
    <mergeCell ref="G27:H27"/>
    <mergeCell ref="P27:Q27"/>
    <mergeCell ref="P28:Q28"/>
    <mergeCell ref="G28:H28"/>
    <mergeCell ref="P39:Q39"/>
    <mergeCell ref="P40:Q40"/>
    <mergeCell ref="P32:Q32"/>
    <mergeCell ref="P33:Q33"/>
    <mergeCell ref="P34:Q34"/>
    <mergeCell ref="P35:Q35"/>
    <mergeCell ref="P36:Q36"/>
    <mergeCell ref="P37:Q37"/>
    <mergeCell ref="P38:Q38"/>
    <mergeCell ref="G29:H29"/>
    <mergeCell ref="K29:L29"/>
    <mergeCell ref="P29:Q29"/>
    <mergeCell ref="P43:Q43"/>
    <mergeCell ref="G38:H38"/>
    <mergeCell ref="G39:H39"/>
    <mergeCell ref="G40:H40"/>
    <mergeCell ref="G41:H41"/>
    <mergeCell ref="G42:H42"/>
    <mergeCell ref="G43:H43"/>
    <mergeCell ref="G30:H30"/>
    <mergeCell ref="P30:Q30"/>
    <mergeCell ref="P31:Q31"/>
    <mergeCell ref="K30:L30"/>
    <mergeCell ref="K31:L31"/>
    <mergeCell ref="K32:L32"/>
    <mergeCell ref="K33:L33"/>
    <mergeCell ref="K34:L34"/>
    <mergeCell ref="K35:L35"/>
    <mergeCell ref="K42:L42"/>
    <mergeCell ref="K43:L43"/>
    <mergeCell ref="K37:L37"/>
    <mergeCell ref="K38:L38"/>
    <mergeCell ref="K39:L39"/>
    <mergeCell ref="K40:L40"/>
    <mergeCell ref="K41:L41"/>
    <mergeCell ref="P41:Q41"/>
    <mergeCell ref="G48:H48"/>
    <mergeCell ref="K36:L36"/>
    <mergeCell ref="G31:H31"/>
    <mergeCell ref="G32:H32"/>
    <mergeCell ref="G33:H33"/>
    <mergeCell ref="G34:H34"/>
    <mergeCell ref="G35:H35"/>
    <mergeCell ref="G36:H36"/>
    <mergeCell ref="G37:H37"/>
    <mergeCell ref="K44:L44"/>
    <mergeCell ref="G44:H44"/>
    <mergeCell ref="K45:L45"/>
    <mergeCell ref="P45:Q45"/>
    <mergeCell ref="K46:L46"/>
    <mergeCell ref="P46:Q46"/>
    <mergeCell ref="K47:L47"/>
    <mergeCell ref="G45:H45"/>
    <mergeCell ref="G46:H46"/>
    <mergeCell ref="G47:H47"/>
    <mergeCell ref="P42:Q42"/>
    <mergeCell ref="P44:Q44"/>
    <mergeCell ref="V4:Y4"/>
    <mergeCell ref="W5:Y5"/>
    <mergeCell ref="V6:X6"/>
    <mergeCell ref="V7:X7"/>
    <mergeCell ref="V8:X8"/>
    <mergeCell ref="V9:X9"/>
    <mergeCell ref="V10:X10"/>
    <mergeCell ref="T14:V14"/>
    <mergeCell ref="T15:U15"/>
    <mergeCell ref="T33:U33"/>
    <mergeCell ref="T16:U16"/>
    <mergeCell ref="T17:U17"/>
    <mergeCell ref="T18:U18"/>
    <mergeCell ref="T19:U19"/>
    <mergeCell ref="T20:U20"/>
    <mergeCell ref="T21:U21"/>
    <mergeCell ref="T22:U22"/>
    <mergeCell ref="T23:U23"/>
    <mergeCell ref="T24:U24"/>
    <mergeCell ref="T43:U43"/>
    <mergeCell ref="T44:U44"/>
    <mergeCell ref="T45:U45"/>
    <mergeCell ref="T46:U46"/>
    <mergeCell ref="E9:F9"/>
    <mergeCell ref="H11:I11"/>
    <mergeCell ref="J11:K11"/>
    <mergeCell ref="T34:U34"/>
    <mergeCell ref="T35:U35"/>
    <mergeCell ref="T36:U36"/>
    <mergeCell ref="T37:U37"/>
    <mergeCell ref="T38:U38"/>
    <mergeCell ref="T39:U39"/>
    <mergeCell ref="T40:U40"/>
    <mergeCell ref="T41:U41"/>
    <mergeCell ref="T42:U42"/>
    <mergeCell ref="T25:U25"/>
    <mergeCell ref="T26:U26"/>
    <mergeCell ref="T27:U27"/>
    <mergeCell ref="T28:U28"/>
    <mergeCell ref="T29:U29"/>
    <mergeCell ref="T30:U30"/>
    <mergeCell ref="T31:U31"/>
    <mergeCell ref="T32:U32"/>
    <mergeCell ref="AA5:AB5"/>
    <mergeCell ref="AA6:AB6"/>
    <mergeCell ref="X16:Y16"/>
    <mergeCell ref="X17:Y17"/>
    <mergeCell ref="X18:Y18"/>
    <mergeCell ref="X19:Y19"/>
    <mergeCell ref="X20:Y20"/>
    <mergeCell ref="J8:K8"/>
    <mergeCell ref="J9:K9"/>
    <mergeCell ref="J10:K10"/>
    <mergeCell ref="X15:Y15"/>
    <mergeCell ref="K14:M14"/>
    <mergeCell ref="O14:Q14"/>
    <mergeCell ref="P15:Q15"/>
    <mergeCell ref="P18:Q18"/>
    <mergeCell ref="P19:Q19"/>
    <mergeCell ref="K15:L15"/>
    <mergeCell ref="K16:L16"/>
    <mergeCell ref="P16:Q16"/>
    <mergeCell ref="K17:L17"/>
    <mergeCell ref="P17:Q17"/>
    <mergeCell ref="K18:L18"/>
    <mergeCell ref="K19:L19"/>
    <mergeCell ref="Q6:S6"/>
    <mergeCell ref="X21:Y21"/>
    <mergeCell ref="X22:Y22"/>
    <mergeCell ref="X23:Y23"/>
    <mergeCell ref="X24:Y24"/>
    <mergeCell ref="X25:Y25"/>
    <mergeCell ref="X26:Y26"/>
    <mergeCell ref="X27:Y27"/>
    <mergeCell ref="X28:Y28"/>
    <mergeCell ref="X29:Y29"/>
    <mergeCell ref="X39:Y39"/>
    <mergeCell ref="X40:Y40"/>
    <mergeCell ref="X41:Y41"/>
    <mergeCell ref="X42:Y42"/>
    <mergeCell ref="X43:Y43"/>
    <mergeCell ref="X44:Y44"/>
    <mergeCell ref="X45:Y45"/>
    <mergeCell ref="X46:Y46"/>
    <mergeCell ref="X30:Y30"/>
    <mergeCell ref="X31:Y31"/>
    <mergeCell ref="X32:Y32"/>
    <mergeCell ref="X33:Y33"/>
    <mergeCell ref="X34:Y34"/>
    <mergeCell ref="X35:Y35"/>
    <mergeCell ref="X36:Y36"/>
    <mergeCell ref="X37:Y37"/>
    <mergeCell ref="X38:Y38"/>
  </mergeCells>
  <conditionalFormatting sqref="K16:K46">
    <cfRule type="expression" dxfId="15" priority="20">
      <formula>K16&gt;G16</formula>
    </cfRule>
    <cfRule type="expression" dxfId="14" priority="21">
      <formula>K16&lt;G16</formula>
    </cfRule>
  </conditionalFormatting>
  <conditionalFormatting sqref="M16:M46">
    <cfRule type="expression" dxfId="13" priority="29">
      <formula>I16&gt;M16</formula>
    </cfRule>
    <cfRule type="expression" dxfId="12" priority="30">
      <formula>I16&lt;M16</formula>
    </cfRule>
  </conditionalFormatting>
  <conditionalFormatting sqref="O16:O46">
    <cfRule type="expression" dxfId="11" priority="26">
      <formula>O16&lt;G16</formula>
    </cfRule>
    <cfRule type="expression" dxfId="10" priority="27">
      <formula>O16&gt;G16</formula>
    </cfRule>
  </conditionalFormatting>
  <conditionalFormatting sqref="P16:Q46">
    <cfRule type="expression" dxfId="9" priority="32">
      <formula>I16&gt;P16</formula>
    </cfRule>
    <cfRule type="expression" dxfId="8" priority="33">
      <formula>I16&lt;P16</formula>
    </cfRule>
  </conditionalFormatting>
  <conditionalFormatting sqref="T16:T46">
    <cfRule type="expression" dxfId="7" priority="40">
      <formula>T16&gt;G16</formula>
    </cfRule>
    <cfRule type="expression" dxfId="6" priority="41">
      <formula>T16&lt;G16</formula>
    </cfRule>
  </conditionalFormatting>
  <conditionalFormatting sqref="V16:V46">
    <cfRule type="expression" dxfId="5" priority="18">
      <formula>I16&gt;V16</formula>
    </cfRule>
    <cfRule type="expression" dxfId="4" priority="19">
      <formula>I16&lt;V16</formula>
    </cfRule>
  </conditionalFormatting>
  <conditionalFormatting sqref="X16:X46">
    <cfRule type="expression" dxfId="3" priority="2">
      <formula>G16&gt;X16</formula>
    </cfRule>
    <cfRule type="expression" dxfId="2" priority="3">
      <formula>G16&lt;X16</formula>
    </cfRule>
  </conditionalFormatting>
  <conditionalFormatting sqref="Z16:Z46">
    <cfRule type="expression" dxfId="1" priority="14">
      <formula>I16&gt;Z16</formula>
    </cfRule>
    <cfRule type="expression" dxfId="0" priority="15">
      <formula>I16&lt;Z16</formula>
    </cfRule>
  </conditionalFormatting>
  <dataValidations count="2">
    <dataValidation type="list" allowBlank="1" showErrorMessage="1" sqref="O8 T8 J8:J9" xr:uid="{00000000-0002-0000-0000-000000000000}">
      <formula1>"Ja,Nein"</formula1>
    </dataValidation>
    <dataValidation type="list" allowBlank="1" showErrorMessage="1" sqref="E6" xr:uid="{00000000-0002-0000-0000-000001000000}">
      <formula1>"Gas,Öl,Strom,Biomasse,Sonstige"</formula1>
    </dataValidation>
  </dataValidations>
  <hyperlinks>
    <hyperlink ref="M6" r:id="rId1" xr:uid="{00000000-0004-0000-0000-000000000000}"/>
    <hyperlink ref="V6:X6" r:id="rId2" display="erwartete Leistung/ Jahr kWh" xr:uid="{7A69FB4E-87CA-4227-B404-6640CEF01300}"/>
  </hyperlinks>
  <pageMargins left="0.7" right="0.7" top="0.78740157499999996" bottom="0.78740157499999996"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911F2-A66C-44B9-9F90-74DCCC7E586C}">
  <dimension ref="A1:D32"/>
  <sheetViews>
    <sheetView workbookViewId="0">
      <selection activeCell="C1" sqref="C1:C1048576"/>
    </sheetView>
  </sheetViews>
  <sheetFormatPr baseColWidth="10" defaultRowHeight="12.45"/>
  <cols>
    <col min="1" max="1" width="12.4609375" customWidth="1"/>
    <col min="2" max="2" width="17.765625" style="61" customWidth="1"/>
    <col min="4" max="4" width="15.3046875" bestFit="1" customWidth="1"/>
  </cols>
  <sheetData>
    <row r="1" spans="1:4">
      <c r="A1" s="59" t="s">
        <v>21</v>
      </c>
      <c r="B1" s="60" t="s">
        <v>34</v>
      </c>
    </row>
    <row r="2" spans="1:4">
      <c r="A2">
        <v>0</v>
      </c>
      <c r="B2" s="61">
        <v>1</v>
      </c>
    </row>
    <row r="3" spans="1:4">
      <c r="A3">
        <f>A2+1</f>
        <v>1</v>
      </c>
      <c r="B3" s="61">
        <f>B2-$D$4</f>
        <v>0.995</v>
      </c>
      <c r="D3" t="s">
        <v>36</v>
      </c>
    </row>
    <row r="4" spans="1:4">
      <c r="A4">
        <f t="shared" ref="A4:A32" si="0">A3+1</f>
        <v>2</v>
      </c>
      <c r="B4" s="61">
        <f t="shared" ref="B4:B32" si="1">B3-$D$4</f>
        <v>0.99</v>
      </c>
      <c r="D4" s="61">
        <v>5.0000000000000001E-3</v>
      </c>
    </row>
    <row r="5" spans="1:4">
      <c r="A5">
        <f t="shared" si="0"/>
        <v>3</v>
      </c>
      <c r="B5" s="61">
        <f t="shared" si="1"/>
        <v>0.98499999999999999</v>
      </c>
    </row>
    <row r="6" spans="1:4">
      <c r="A6">
        <f t="shared" si="0"/>
        <v>4</v>
      </c>
      <c r="B6" s="61">
        <f t="shared" si="1"/>
        <v>0.98</v>
      </c>
    </row>
    <row r="7" spans="1:4">
      <c r="A7">
        <f t="shared" si="0"/>
        <v>5</v>
      </c>
      <c r="B7" s="61">
        <f t="shared" si="1"/>
        <v>0.97499999999999998</v>
      </c>
    </row>
    <row r="8" spans="1:4">
      <c r="A8">
        <f t="shared" si="0"/>
        <v>6</v>
      </c>
      <c r="B8" s="61">
        <f t="shared" si="1"/>
        <v>0.97</v>
      </c>
    </row>
    <row r="9" spans="1:4">
      <c r="A9">
        <f t="shared" si="0"/>
        <v>7</v>
      </c>
      <c r="B9" s="61">
        <f t="shared" si="1"/>
        <v>0.96499999999999997</v>
      </c>
    </row>
    <row r="10" spans="1:4">
      <c r="A10">
        <f t="shared" si="0"/>
        <v>8</v>
      </c>
      <c r="B10" s="61">
        <f t="shared" si="1"/>
        <v>0.96</v>
      </c>
    </row>
    <row r="11" spans="1:4">
      <c r="A11">
        <f t="shared" si="0"/>
        <v>9</v>
      </c>
      <c r="B11" s="61">
        <f t="shared" si="1"/>
        <v>0.95499999999999996</v>
      </c>
    </row>
    <row r="12" spans="1:4">
      <c r="A12">
        <f t="shared" si="0"/>
        <v>10</v>
      </c>
      <c r="B12" s="61">
        <f t="shared" si="1"/>
        <v>0.95</v>
      </c>
    </row>
    <row r="13" spans="1:4">
      <c r="A13">
        <f t="shared" si="0"/>
        <v>11</v>
      </c>
      <c r="B13" s="61">
        <f t="shared" si="1"/>
        <v>0.94499999999999995</v>
      </c>
    </row>
    <row r="14" spans="1:4">
      <c r="A14">
        <f t="shared" si="0"/>
        <v>12</v>
      </c>
      <c r="B14" s="61">
        <f t="shared" si="1"/>
        <v>0.94</v>
      </c>
    </row>
    <row r="15" spans="1:4">
      <c r="A15">
        <f t="shared" si="0"/>
        <v>13</v>
      </c>
      <c r="B15" s="61">
        <f t="shared" si="1"/>
        <v>0.93499999999999994</v>
      </c>
    </row>
    <row r="16" spans="1:4">
      <c r="A16">
        <f t="shared" si="0"/>
        <v>14</v>
      </c>
      <c r="B16" s="61">
        <f t="shared" si="1"/>
        <v>0.92999999999999994</v>
      </c>
    </row>
    <row r="17" spans="1:2">
      <c r="A17">
        <f t="shared" si="0"/>
        <v>15</v>
      </c>
      <c r="B17" s="61">
        <f t="shared" si="1"/>
        <v>0.92499999999999993</v>
      </c>
    </row>
    <row r="18" spans="1:2">
      <c r="A18">
        <f t="shared" si="0"/>
        <v>16</v>
      </c>
      <c r="B18" s="61">
        <f t="shared" si="1"/>
        <v>0.91999999999999993</v>
      </c>
    </row>
    <row r="19" spans="1:2">
      <c r="A19">
        <f t="shared" si="0"/>
        <v>17</v>
      </c>
      <c r="B19" s="61">
        <f t="shared" si="1"/>
        <v>0.91499999999999992</v>
      </c>
    </row>
    <row r="20" spans="1:2">
      <c r="A20">
        <f t="shared" si="0"/>
        <v>18</v>
      </c>
      <c r="B20" s="61">
        <f t="shared" si="1"/>
        <v>0.90999999999999992</v>
      </c>
    </row>
    <row r="21" spans="1:2">
      <c r="A21">
        <f t="shared" si="0"/>
        <v>19</v>
      </c>
      <c r="B21" s="61">
        <f t="shared" si="1"/>
        <v>0.90499999999999992</v>
      </c>
    </row>
    <row r="22" spans="1:2">
      <c r="A22">
        <f t="shared" si="0"/>
        <v>20</v>
      </c>
      <c r="B22" s="61">
        <f t="shared" si="1"/>
        <v>0.89999999999999991</v>
      </c>
    </row>
    <row r="23" spans="1:2">
      <c r="A23">
        <f t="shared" si="0"/>
        <v>21</v>
      </c>
      <c r="B23" s="61">
        <f t="shared" si="1"/>
        <v>0.89499999999999991</v>
      </c>
    </row>
    <row r="24" spans="1:2">
      <c r="A24">
        <f t="shared" si="0"/>
        <v>22</v>
      </c>
      <c r="B24" s="61">
        <f t="shared" si="1"/>
        <v>0.8899999999999999</v>
      </c>
    </row>
    <row r="25" spans="1:2">
      <c r="A25">
        <f t="shared" si="0"/>
        <v>23</v>
      </c>
      <c r="B25" s="61">
        <f t="shared" si="1"/>
        <v>0.8849999999999999</v>
      </c>
    </row>
    <row r="26" spans="1:2">
      <c r="A26">
        <f t="shared" si="0"/>
        <v>24</v>
      </c>
      <c r="B26" s="61">
        <f t="shared" si="1"/>
        <v>0.87999999999999989</v>
      </c>
    </row>
    <row r="27" spans="1:2">
      <c r="A27">
        <f t="shared" si="0"/>
        <v>25</v>
      </c>
      <c r="B27" s="61">
        <f t="shared" si="1"/>
        <v>0.87499999999999989</v>
      </c>
    </row>
    <row r="28" spans="1:2">
      <c r="A28">
        <f t="shared" si="0"/>
        <v>26</v>
      </c>
      <c r="B28" s="61">
        <f t="shared" si="1"/>
        <v>0.86999999999999988</v>
      </c>
    </row>
    <row r="29" spans="1:2">
      <c r="A29">
        <f t="shared" si="0"/>
        <v>27</v>
      </c>
      <c r="B29" s="61">
        <f t="shared" si="1"/>
        <v>0.86499999999999988</v>
      </c>
    </row>
    <row r="30" spans="1:2">
      <c r="A30">
        <f t="shared" si="0"/>
        <v>28</v>
      </c>
      <c r="B30" s="61">
        <f t="shared" si="1"/>
        <v>0.85999999999999988</v>
      </c>
    </row>
    <row r="31" spans="1:2">
      <c r="A31">
        <f t="shared" si="0"/>
        <v>29</v>
      </c>
      <c r="B31" s="61">
        <f t="shared" si="1"/>
        <v>0.85499999999999987</v>
      </c>
    </row>
    <row r="32" spans="1:2">
      <c r="A32">
        <f t="shared" si="0"/>
        <v>30</v>
      </c>
      <c r="B32" s="61">
        <f t="shared" si="1"/>
        <v>0.84999999999999987</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23"/>
  <sheetViews>
    <sheetView workbookViewId="0">
      <selection activeCell="B2" sqref="B2"/>
    </sheetView>
  </sheetViews>
  <sheetFormatPr baseColWidth="10" defaultColWidth="12.61328125" defaultRowHeight="15.75" customHeight="1"/>
  <sheetData>
    <row r="1" spans="1:2" ht="15.75" customHeight="1">
      <c r="A1" s="45" t="s">
        <v>21</v>
      </c>
      <c r="B1" s="45" t="s">
        <v>10</v>
      </c>
    </row>
    <row r="2" spans="1:2" ht="15.75" customHeight="1">
      <c r="A2" s="45">
        <v>2024</v>
      </c>
      <c r="B2" s="45">
        <v>0.2</v>
      </c>
    </row>
    <row r="3" spans="1:2" ht="15.75" customHeight="1">
      <c r="A3" s="45">
        <v>2025</v>
      </c>
      <c r="B3" s="45">
        <v>0.2</v>
      </c>
    </row>
    <row r="4" spans="1:2" ht="15.75" customHeight="1">
      <c r="A4" s="45">
        <v>2026</v>
      </c>
      <c r="B4" s="45">
        <v>0.2</v>
      </c>
    </row>
    <row r="5" spans="1:2" ht="15.75" customHeight="1">
      <c r="A5" s="45">
        <v>2027</v>
      </c>
      <c r="B5" s="45">
        <v>0.2</v>
      </c>
    </row>
    <row r="6" spans="1:2" ht="15.75" customHeight="1">
      <c r="A6" s="45">
        <v>2028</v>
      </c>
      <c r="B6" s="45">
        <v>0.2</v>
      </c>
    </row>
    <row r="7" spans="1:2" ht="15.75" customHeight="1">
      <c r="A7" s="45">
        <v>2029</v>
      </c>
      <c r="B7" s="45">
        <v>0.17</v>
      </c>
    </row>
    <row r="8" spans="1:2" ht="15.75" customHeight="1">
      <c r="A8" s="45">
        <v>2030</v>
      </c>
      <c r="B8" s="45">
        <v>0.17</v>
      </c>
    </row>
    <row r="9" spans="1:2" ht="15.75" customHeight="1">
      <c r="A9" s="45">
        <v>2031</v>
      </c>
      <c r="B9" s="45">
        <v>0.14000000000000001</v>
      </c>
    </row>
    <row r="10" spans="1:2" ht="15.75" customHeight="1">
      <c r="A10" s="45">
        <v>2032</v>
      </c>
      <c r="B10" s="45">
        <v>0.14000000000000001</v>
      </c>
    </row>
    <row r="11" spans="1:2" ht="15.75" customHeight="1">
      <c r="A11" s="45">
        <v>2033</v>
      </c>
      <c r="B11" s="45">
        <v>0.11</v>
      </c>
    </row>
    <row r="12" spans="1:2" ht="15.75" customHeight="1">
      <c r="A12" s="45">
        <v>2034</v>
      </c>
      <c r="B12" s="45">
        <v>0.11</v>
      </c>
    </row>
    <row r="13" spans="1:2" ht="15.75" customHeight="1">
      <c r="A13" s="45">
        <v>2035</v>
      </c>
      <c r="B13" s="45">
        <v>0.08</v>
      </c>
    </row>
    <row r="14" spans="1:2" ht="15.75" customHeight="1">
      <c r="A14" s="45">
        <v>2036</v>
      </c>
      <c r="B14" s="45">
        <v>0.08</v>
      </c>
    </row>
    <row r="15" spans="1:2" ht="15.75" customHeight="1">
      <c r="A15" s="45">
        <v>2037</v>
      </c>
    </row>
    <row r="16" spans="1:2" ht="15.75" customHeight="1">
      <c r="A16" s="45">
        <v>2038</v>
      </c>
    </row>
    <row r="17" spans="1:1" ht="15.75" customHeight="1">
      <c r="A17" s="45">
        <v>2039</v>
      </c>
    </row>
    <row r="18" spans="1:1" ht="15.75" customHeight="1">
      <c r="A18" s="45">
        <v>2040</v>
      </c>
    </row>
    <row r="19" spans="1:1" ht="15.75" customHeight="1">
      <c r="A19" s="45">
        <v>2041</v>
      </c>
    </row>
    <row r="20" spans="1:1" ht="15.75" customHeight="1">
      <c r="A20" s="45">
        <v>2042</v>
      </c>
    </row>
    <row r="21" spans="1:1" ht="15.75" customHeight="1">
      <c r="A21" s="45">
        <v>2043</v>
      </c>
    </row>
    <row r="22" spans="1:1" ht="15.75" customHeight="1">
      <c r="A22" s="45">
        <v>2044</v>
      </c>
    </row>
    <row r="23" spans="1:1" ht="15.75" customHeight="1">
      <c r="A23" s="45">
        <v>2045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Wärmepumpen Rechner</vt:lpstr>
      <vt:lpstr>Degradation der Module</vt:lpstr>
      <vt:lpstr>Klimabonus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Guido Jeuken</dc:creator>
  <cp:lastModifiedBy>Guido Jeuken</cp:lastModifiedBy>
  <dcterms:created xsi:type="dcterms:W3CDTF">2024-05-20T09:40:40Z</dcterms:created>
  <dcterms:modified xsi:type="dcterms:W3CDTF">2025-03-29T08:08:15Z</dcterms:modified>
</cp:coreProperties>
</file>